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DBgC+E91Cd2DehSswgvc4O3EiEQZ2kpidBOloz+Ul8DU/6krML+uy9dSte8kd09lE2TvtjxnBLinrrd6mJs6aQ==" workbookSaltValue="8M359jLUpy16Z5SOs9+eTQ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K223" i="83" s="1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F53" i="83" l="1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U194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J70" i="83" l="1"/>
  <c r="AN70" i="83" s="1"/>
  <c r="Y52" i="83" s="1"/>
  <c r="AG214" i="83"/>
  <c r="AK214" i="83"/>
  <c r="AG190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334" i="83" l="1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<sst xmlns="http://schemas.openxmlformats.org/spreadsheetml/2006/main" count="65845" uniqueCount="756">
  <si>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</si>
  <si>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</si>
  <si>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</si>
  <si>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</si>
  <si>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</si>
  <si>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</si>
  <si>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</si>
  <si>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</si>
  <si>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</si>
  <si>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</si>
  <si>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</si>
  <si>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</si>
  <si>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</si>
  <si>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</si>
  <si>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</si>
  <si>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</si>
  <si>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</si>
  <si>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</si>
  <si>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</si>
  <si>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</si>
  <si>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</si>
  <si>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</si>
  <si>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</si>
  <si>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</si>
  <si>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</si>
  <si>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</si>
  <si>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</si>
  <si>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</si>
  <si>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</si>
  <si>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</si>
  <si>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</si>
  <si>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</si>
  <si>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</si>
  <si>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</si>
  <si>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</si>
  <si>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</si>
  <si>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</si>
  <si>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</si>
  <si>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</si>
  <si>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</si>
  <si>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</si>
  <si>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</si>
  <si>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</si>
  <si>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</si>
  <si>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</si>
  <si>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</si>
  <si>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</si>
  <si>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</si>
  <si>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</si>
  <si>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</si>
  <si>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</si>
  <si>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</si>
  <si>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</si>
  <si>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</si>
  <si>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</si>
  <si>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</si>
  <si>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</si>
  <si>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</si>
  <si>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</si>
  <si>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</si>
  <si>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</si>
  <si>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</si>
  <si>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</si>
  <si>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</si>
  <si>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</si>
  <si>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</si>
  <si>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</si>
  <si>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</si>
  <si>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</si>
  <si>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</si>
  <si>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</si>
  <si>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</si>
  <si>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</si>
  <si>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</si>
  <si>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</si>
  <si>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</si>
  <si>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</si>
  <si>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</si>
  <si>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</si>
  <si>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</si>
  <si>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</si>
  <si>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</si>
  <si>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</si>
  <si>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</si>
  <si>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</si>
  <si>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</si>
  <si>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</si>
  <si>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</si>
  <si>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</si>
  <si>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</si>
  <si>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</si>
  <si>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</si>
  <si>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</si>
  <si>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</si>
  <si>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</si>
  <si>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</si>
  <si>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</si>
  <si>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</si>
  <si>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</si>
  <si>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</si>
  <si>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</si>
  <si>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</si>
  <si>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</si>
  <si>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</si>
  <si>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</si>
  <si>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</si>
  <si>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</si>
  <si>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</si>
  <si>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</si>
  <si>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</si>
  <si>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</si>
  <si>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</si>
  <si>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</si>
  <si>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</si>
  <si>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</si>
  <si>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</si>
  <si>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</si>
  <si>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</si>
  <si>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</si>
  <si>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</si>
  <si>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</si>
  <si>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</si>
  <si>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</si>
  <si>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</si>
  <si>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</si>
  <si>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</si>
  <si>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</si>
  <si>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</si>
  <si>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</si>
  <si>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</si>
  <si>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</si>
  <si>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</si>
  <si>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</si>
  <si>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</si>
  <si>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</si>
  <si>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</si>
  <si>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</si>
  <si>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</si>
  <si>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</si>
  <si>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</si>
  <si>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</si>
  <si>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</si>
  <si>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</si>
  <si>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</si>
  <si>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</si>
  <si>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</si>
  <si>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</si>
  <si>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</si>
  <si>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</si>
  <si>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</si>
  <si>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</si>
  <si>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</si>
  <si>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</si>
  <si>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</si>
  <si>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</si>
  <si>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</si>
  <si>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</si>
  <si>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</si>
  <si>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</si>
  <si>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</si>
  <si>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</si>
  <si>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</si>
  <si>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</si>
  <si>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</si>
  <si>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</si>
  <si>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</si>
  <si>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</si>
  <si>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</si>
  <si>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</si>
  <si>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</si>
  <si>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</si>
  <si>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</si>
  <si>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</si>
  <si>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</si>
  <si>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</si>
  <si>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</si>
  <si>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</si>
  <si>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</si>
  <si>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</si>
  <si>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</si>
  <si>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</si>
  <si>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</si>
  <si>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</si>
  <si>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</si>
  <si>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</si>
  <si>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</si>
  <si>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</si>
  <si>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</si>
  <si>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</si>
  <si>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</si>
  <si>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</si>
  <si>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</si>
  <si>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</si>
  <si>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</si>
  <si>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</si>
  <si>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</si>
  <si>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</si>
  <si>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</si>
  <si>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</si>
  <si>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</si>
  <si>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</si>
  <si>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</si>
  <si>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</si>
  <si>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</si>
  <si>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</si>
  <si>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</si>
  <si>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</si>
  <si>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</si>
  <si>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</si>
  <si>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</si>
  <si>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</si>
  <si>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</si>
  <si>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</si>
  <si>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</si>
  <si>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</si>
  <si>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</si>
  <si>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</si>
  <si>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</si>
  <si>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</si>
  <si>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</si>
  <si>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</si>
  <si>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</si>
  <si>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</si>
  <si>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</si>
  <si>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</si>
  <si>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</si>
  <si>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</si>
  <si>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</si>
  <si>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</si>
  <si>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</si>
  <si>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</si>
  <si>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</si>
  <si>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</si>
  <si>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</si>
  <si>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</si>
  <si>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</si>
  <si>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</si>
  <si>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</si>
  <si>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</si>
  <si>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</si>
  <si>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</si>
  <si>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</si>
  <si>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</si>
  <si>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</si>
  <si>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</si>
  <si>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</si>
  <si>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</si>
  <si>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</si>
  <si>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</si>
  <si>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</si>
  <si>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</si>
  <si>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</si>
  <si>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</si>
  <si>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</si>
  <si>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</si>
  <si>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</si>
  <si>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</si>
  <si>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</si>
  <si>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</si>
  <si>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</si>
  <si>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</si>
  <si>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</si>
  <si>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</si>
  <si>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</si>
  <si>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</si>
  <si>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</si>
  <si>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</si>
  <si>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</si>
  <si>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</si>
  <si>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</si>
  <si>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</si>
  <si>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</si>
  <si>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</si>
  <si>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</si>
  <si>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</si>
  <si>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</si>
  <si>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</si>
  <si>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</si>
  <si>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</si>
  <si>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</si>
  <si>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</si>
  <si>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</si>
  <si>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</si>
  <si>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</si>
  <si>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</si>
  <si>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</si>
  <si>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</si>
  <si>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</si>
  <si>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</si>
  <si>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</si>
  <si>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</si>
  <si>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</si>
  <si>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</si>
  <si>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</si>
  <si>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</si>
  <si>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</si>
  <si>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</si>
  <si>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</si>
  <si>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</si>
  <si>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</si>
  <si>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</si>
  <si>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</si>
  <si>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</si>
  <si>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</si>
  <si>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</si>
  <si>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</si>
  <si>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</si>
  <si>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</si>
  <si>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</si>
  <si>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</si>
  <si>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</si>
  <si>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</si>
  <si>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</si>
  <si>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</si>
  <si>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</si>
  <si>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</si>
  <si>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</si>
  <si>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</si>
  <si>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</si>
  <si>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</si>
  <si>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</si>
  <si>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</si>
  <si>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</si>
  <si>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</si>
  <si>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</si>
  <si>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</si>
  <si>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</si>
  <si>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</si>
  <si>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</si>
  <si>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</si>
  <si>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</si>
  <si>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</si>
  <si>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</si>
  <si>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</si>
  <si>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</si>
  <si>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</si>
  <si>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</si>
  <si>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</si>
  <si>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</si>
  <si>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</si>
  <si>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</si>
  <si>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</si>
  <si>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</si>
  <si>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</si>
  <si>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</si>
  <si>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</si>
  <si>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</si>
  <si>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</si>
  <si>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</si>
  <si>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</si>
  <si>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</si>
  <si>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</si>
  <si>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</si>
  <si>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</si>
  <si>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</si>
  <si>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</si>
  <si>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</si>
  <si>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</si>
  <si>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</si>
  <si>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</si>
  <si>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</si>
  <si>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</si>
  <si>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</si>
  <si>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</si>
  <si>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</si>
  <si>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</si>
  <si>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</si>
  <si>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</si>
  <si>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</si>
  <si>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</si>
  <si>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</si>
  <si>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</si>
  <si>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</si>
  <si>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</si>
  <si>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</si>
  <si>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</si>
  <si>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</si>
  <si>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</si>
  <si>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</si>
  <si>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</si>
  <si>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</si>
  <si>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</si>
  <si>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</si>
  <si>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</si>
  <si>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</si>
  <si>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</si>
  <si>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</si>
  <si>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</si>
  <si>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</si>
  <si>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</si>
  <si>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</si>
  <si>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</si>
  <si>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</si>
  <si>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</si>
  <si>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</si>
  <si>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</si>
  <si>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</si>
  <si>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</si>
  <si>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</si>
  <si>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</si>
  <si>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</si>
  <si>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</si>
  <si>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</si>
  <si>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</si>
  <si>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</si>
  <si>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</si>
  <si>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</si>
  <si>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</si>
  <si>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</si>
  <si>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</si>
  <si>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</si>
  <si>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</si>
  <si>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</si>
  <si>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</si>
  <si>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</si>
  <si>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</si>
  <si>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</si>
  <si>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</si>
  <si>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</si>
  <si>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</si>
  <si>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</si>
  <si>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</si>
  <si>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</si>
  <si>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</si>
  <si>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</si>
  <si>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</si>
  <si>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</si>
  <si>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</si>
  <si>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</si>
  <si>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</si>
  <si>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</si>
  <si>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</si>
  <si>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</si>
  <si>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</si>
  <si>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</si>
  <si>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</si>
  <si>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</si>
  <si>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</si>
  <si>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</si>
  <si>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</si>
  <si>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</si>
  <si>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</si>
  <si>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</si>
  <si>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</si>
  <si>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</si>
  <si>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</si>
  <si>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</si>
  <si>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</si>
  <si>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</si>
  <si>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</si>
  <si>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</si>
  <si>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</si>
  <si>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</si>
  <si>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</si>
  <si>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</si>
  <si>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</si>
  <si>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</si>
  <si>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</si>
  <si>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</si>
  <si>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</si>
  <si>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</si>
  <si>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</si>
  <si>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</si>
  <si>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</si>
  <si>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</si>
  <si>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</si>
  <si>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</si>
  <si>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</si>
  <si>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</si>
  <si>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</si>
  <si>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</si>
  <si>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</si>
  <si>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</si>
  <si>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</si>
  <si>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</si>
  <si>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</si>
  <si>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</si>
  <si>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</si>
  <si>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</si>
  <si>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</si>
  <si>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</si>
  <si>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</si>
  <si>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</si>
  <si>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</si>
  <si>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</si>
  <si>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</si>
  <si>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</si>
  <si>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</si>
  <si>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</si>
  <si>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</si>
  <si>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</si>
  <si>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</si>
  <si>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</si>
  <si>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</si>
  <si>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</si>
  <si>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</si>
  <si>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</si>
  <si>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</si>
  <si>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</si>
  <si>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</si>
  <si>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</si>
  <si>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</si>
  <si>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</si>
  <si>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</si>
  <si>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</si>
  <si>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</si>
  <si>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</si>
  <si>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</si>
  <si>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</si>
  <si>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</si>
  <si>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</si>
  <si>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</si>
  <si>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</si>
  <si>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</si>
  <si>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</si>
  <si>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</si>
  <si>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</si>
  <si>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</si>
  <si>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</si>
  <si>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</si>
  <si>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</si>
  <si>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</si>
  <si>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</si>
  <si>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</si>
  <si>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</si>
  <si>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</si>
  <si>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</si>
  <si>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</si>
  <si>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</si>
  <si>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</si>
  <si>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</si>
  <si>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</si>
  <si>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</si>
  <si>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</si>
  <si>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</si>
  <si>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</si>
  <si>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</si>
  <si>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</si>
  <si>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</si>
  <si>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</si>
  <si>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</si>
  <si>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</si>
  <si>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</si>
  <si>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</si>
  <si>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</si>
  <si>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</si>
  <si>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</si>
  <si>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</si>
  <si>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</si>
  <si>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</si>
  <si>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</si>
  <si>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</si>
  <si>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</si>
  <si>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</si>
  <si>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</si>
  <si>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</si>
  <si>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</si>
  <si>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</si>
  <si>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</si>
  <si>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</si>
  <si>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</si>
  <si>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</si>
  <si>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</si>
  <si>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</si>
  <si>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</si>
  <si>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</si>
  <si>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</si>
  <si>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</si>
  <si>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</si>
  <si>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</si>
  <si>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</si>
  <si>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</si>
  <si>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</si>
  <si>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</si>
  <si>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</si>
  <si>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</si>
  <si>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</si>
  <si>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</si>
  <si>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</si>
  <si>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</si>
  <si>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</si>
  <si>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</si>
  <si>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</si>
  <si>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</si>
  <si>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</si>
  <si>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</si>
  <si>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</si>
  <si>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</si>
  <si>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</si>
  <si>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</si>
  <si>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</si>
  <si>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</si>
  <si>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</si>
  <si>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</si>
  <si>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</si>
  <si>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</si>
  <si>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</si>
  <si>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</si>
  <si>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</si>
  <si>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</si>
  <si>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</si>
  <si>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</si>
  <si>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</si>
  <si>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</si>
  <si>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</si>
  <si>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</si>
  <si>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</si>
  <si>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</si>
  <si>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</si>
  <si>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</si>
  <si>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</si>
  <si>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</si>
  <si>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</si>
  <si>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</si>
  <si>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</si>
  <si>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</si>
  <si>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</si>
  <si>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</si>
  <si>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</si>
  <si>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</si>
  <si>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</si>
  <si>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</si>
  <si>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</si>
  <si>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</si>
  <si>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</si>
  <si>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</si>
  <si>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</si>
  <si>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</si>
  <si>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</si>
  <si>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</si>
  <si>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</si>
  <si>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</si>
  <si>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</si>
  <si>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</si>
  <si>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</si>
  <si>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</si>
  <si>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</si>
  <si>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</si>
  <si>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</si>
  <si>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</si>
  <si>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</si>
  <si>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</si>
  <si>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</si>
  <si>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</si>
  <si>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</si>
  <si>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</si>
  <si>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</si>
  <si>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</si>
  <si>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</si>
  <si>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</si>
  <si>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</si>
  <si>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</si>
  <si>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</si>
  <si>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</si>
  <si>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</si>
  <si>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</si>
  <si>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</si>
  <si>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</si>
  <si>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</si>
  <si>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</si>
  <si>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</si>
  <si>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</si>
  <si>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</si>
  <si>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</si>
  <si>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</si>
  <si>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</si>
  <si>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</si>
  <si>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</si>
  <si>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</si>
  <si>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</si>
  <si>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</si>
  <si>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</si>
  <si>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</si>
  <si>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</si>
  <si>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</si>
  <si>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</si>
  <si>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</si>
  <si>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</si>
  <si>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</si>
  <si>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</si>
  <si>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</si>
  <si>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</si>
  <si>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</si>
  <si>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</si>
  <si>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</si>
  <si>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</si>
  <si>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</si>
  <si>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</si>
  <si>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</si>
  <si>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</si>
  <si>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</si>
  <si>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</si>
  <si>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</si>
  <si>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</si>
  <si>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</si>
  <si>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</si>
  <si>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</si>
  <si>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</si>
  <si>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</si>
  <si>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</si>
  <si>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</si>
  <si>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</si>
  <si>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</si>
  <si>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</si>
  <si>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</si>
  <si>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</si>
  <si>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</si>
  <si>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</si>
  <si>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</si>
  <si>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</si>
  <si>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</si>
  <si>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</si>
  <si>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</si>
  <si>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</si>
  <si>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</si>
  <si>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</si>
  <si>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</si>
  <si>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</si>
  <si>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</si>
  <si>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</si>
  <si>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</si>
  <si>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</si>
  <si>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</si>
  <si>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</si>
  <si>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</si>
  <si>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</si>
  <si>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</si>
  <si>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</si>
  <si>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</si>
  <si>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</si>
  <si>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</si>
  <si>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</si>
  <si>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</si>
  <si>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</si>
  <si>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</si>
  <si>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</si>
  <si>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</si>
  <si>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</si>
  <si>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</si>
  <si>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</si>
  <si>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</si>
  <si>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</si>
  <si>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</si>
  <si>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</si>
  <si>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</si>
  <si>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</si>
  <si>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</si>
  <si>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</si>
  <si>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</si>
  <si>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</si>
  <si>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</si>
  <si>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</si>
  <si>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</si>
  <si>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</si>
  <si>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</si>
  <si>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Judges salaries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</si>
</sst>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22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0.20461708115832195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7.6259710348615354E-5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0.29526866880221181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0.50003799032911755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7.5999999999999984E-2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1.499885610434477E-2</v>
      </c>
      <c r="AB3">
        <f>SUMIFS(PERSALDATA!$G$2:$G$20871,PERSALDATA!$A$2:$A$20871,WORKING!A3,PERSALDATA!$D$2:$D$20871,WORKING!B3,PERSALDATA!$E$2:$E$20871,WORKING!C3,PERSALDATA!$F$2:$F$20871,"S&amp;W: BASIC SALARY (RES)")</f>
        <v>11</v>
      </c>
      <c r="AC3" s="2">
        <f>SUMIFS(PERSALDATA!$H$2:$H$20871,PERSALDATA!$A$2:$A$20871,WORKING!A3,PERSALDATA!$D$2:$D$20871,WORKING!B3,PERSALDATA!$E$2:$E$20871,WORKING!C3)</f>
        <v>1146739.21</v>
      </c>
    </row>
    <row r="4" spans="1:29" x14ac:dyDescent="0.25">
      <c r="A4" s="2">
        <f>Results!$D$3</f>
        <v>22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22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0.70030539511350831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5.4875576784794614E-2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6.3257747888033483E-2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7.4922136626391092E-2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8.2339661453548457E-2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5.3296562551824261E-4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2.3766516508205611E-2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7.2241321073278908E-2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7.0491254570515499E-2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6.9491254570515526E-2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6.7491254570515524E-2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1.2919307247900854E-2</v>
      </c>
      <c r="AB5" s="2">
        <f>SUMIFS(PERSALDATA!$G$2:$G$20871,PERSALDATA!$A$2:$A$20871,WORKING!A5,PERSALDATA!$D$2:$D$20871,WORKING!B5,PERSALDATA!$E$2:$E$20871,WORKING!C5,PERSALDATA!$F$2:$F$20871,"S&amp;W: BASIC SALARY (RES)")</f>
        <v>3</v>
      </c>
      <c r="AC5" s="2">
        <f>SUMIFS(PERSALDATA!$H$2:$H$20871,PERSALDATA!$A$2:$A$20871,WORKING!A5,PERSALDATA!$D$2:$D$20871,WORKING!B5,PERSALDATA!$E$2:$E$20871,WORKING!C5)</f>
        <v>2617861.1400000011</v>
      </c>
    </row>
    <row r="6" spans="1:29" x14ac:dyDescent="0.25">
      <c r="A6" s="2">
        <f>Results!$D$3</f>
        <v>22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0.70697442906287877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4.5594710346801764E-2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5.5015590656173223E-2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7.1756857533007506E-2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7.7067175160652451E-2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4.5045618527795944E-4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4.3140781055208542E-2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7.282341111559297E-2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7.052619695643339E-2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6.9526196956433403E-2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6.7526196956433387E-2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1.3091656434383122E-2</v>
      </c>
      <c r="AB6" s="2">
        <f>SUMIFS(PERSALDATA!$G$2:$G$20871,PERSALDATA!$A$2:$A$20871,WORKING!A6,PERSALDATA!$D$2:$D$20871,WORKING!B6,PERSALDATA!$E$2:$E$20871,WORKING!C6,PERSALDATA!$F$2:$F$20871,"S&amp;W: BASIC SALARY (RES)")</f>
        <v>2</v>
      </c>
      <c r="AC6" s="2">
        <f>SUMIFS(PERSALDATA!$H$2:$H$20871,PERSALDATA!$A$2:$A$20871,WORKING!A6,PERSALDATA!$D$2:$D$20871,WORKING!B6,PERSALDATA!$E$2:$E$20871,WORKING!C6)</f>
        <v>1325078.9299999997</v>
      </c>
    </row>
    <row r="7" spans="1:29" x14ac:dyDescent="0.25">
      <c r="A7" s="2">
        <f>Results!$D$3</f>
        <v>22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0.70684619351178868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5.6939061834407119E-2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4.7744412164370309E-2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3.9514486120532759E-3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6.1347042583588085E-2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7.8292497680434406E-2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3.0728528108533099E-3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3.8396760186612105E-4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3.9026099720951606E-2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2.3964234796871641E-3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7.323028327167809E-2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7.0442761517110139E-2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6.9442761517110124E-2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6.7442761517110136E-2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1.3357868664752633E-2</v>
      </c>
      <c r="AB7" s="2">
        <f>SUMIFS(PERSALDATA!$G$2:$G$20871,PERSALDATA!$A$2:$A$20871,WORKING!A7,PERSALDATA!$D$2:$D$20871,WORKING!B7,PERSALDATA!$E$2:$E$20871,WORKING!C7,PERSALDATA!$F$2:$F$20871,"S&amp;W: BASIC SALARY (RES)")</f>
        <v>18</v>
      </c>
      <c r="AC7" s="2">
        <f>SUMIFS(PERSALDATA!$H$2:$H$20871,PERSALDATA!$A$2:$A$20871,WORKING!A7,PERSALDATA!$D$2:$D$20871,WORKING!B7,PERSALDATA!$E$2:$E$20871,WORKING!C7)</f>
        <v>11762633.039999997</v>
      </c>
    </row>
    <row r="8" spans="1:29" x14ac:dyDescent="0.25">
      <c r="A8" s="2">
        <f>Results!$D$3</f>
        <v>22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0.72361700074550028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7.1473908838025887E-2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3.6514309044856946E-2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1.0369396840720288E-3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6.2451277260943294E-2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9.3268516266478682E-2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8.989535274135551E-3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2.9493224323948609E-4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2.3535806427477097E-3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7.409923039424407E-2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7.0571626068465565E-2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6.9571626068465578E-2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6.757162606846559E-2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1.3511092221764403E-2</v>
      </c>
      <c r="AB8" s="2">
        <f>SUMIFS(PERSALDATA!$G$2:$G$20871,PERSALDATA!$A$2:$A$20871,WORKING!A8,PERSALDATA!$D$2:$D$20871,WORKING!B8,PERSALDATA!$E$2:$E$20871,WORKING!C8,PERSALDATA!$F$2:$F$20871,"S&amp;W: BASIC SALARY (RES)")</f>
        <v>4</v>
      </c>
      <c r="AC8" s="2">
        <f>SUMIFS(PERSALDATA!$H$2:$H$20871,PERSALDATA!$A$2:$A$20871,WORKING!A8,PERSALDATA!$D$2:$D$20871,WORKING!B8,PERSALDATA!$E$2:$E$20871,WORKING!C8)</f>
        <v>2399059.5000000005</v>
      </c>
    </row>
    <row r="9" spans="1:29" x14ac:dyDescent="0.25">
      <c r="A9" s="2">
        <f>Results!$D$3</f>
        <v>22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0.74255444584023722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3.7371677069701882E-2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2.4426431340821342E-2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6.3391691002449863E-3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3.7720612550582205E-2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6.8594938646624762E-2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2.5738279963297209E-3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2.6292648602428036E-4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7.722550049114188E-2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1.6083000498790417E-3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1.3221704284126445E-3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7.4671679793805734E-2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7.0321544874850525E-2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6.932154487485051E-2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6.7321544874850509E-2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1.4063850444338583E-2</v>
      </c>
      <c r="AB9" s="2">
        <f>SUMIFS(PERSALDATA!$G$2:$G$20871,PERSALDATA!$A$2:$A$20871,WORKING!A9,PERSALDATA!$D$2:$D$20871,WORKING!B9,PERSALDATA!$E$2:$E$20871,WORKING!C9,PERSALDATA!$F$2:$F$20871,"S&amp;W: BASIC SALARY (RES)")</f>
        <v>15</v>
      </c>
      <c r="AC9" s="2">
        <f>SUMIFS(PERSALDATA!$H$2:$H$20871,PERSALDATA!$A$2:$A$20871,WORKING!A9,PERSALDATA!$D$2:$D$20871,WORKING!B9,PERSALDATA!$E$2:$E$20871,WORKING!C9)</f>
        <v>12662512.819999998</v>
      </c>
    </row>
    <row r="10" spans="1:29" x14ac:dyDescent="0.25">
      <c r="A10" s="2">
        <f>Results!$D$3</f>
        <v>22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0.74519102349288135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5.209268781993031E-2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3.2982611596527683E-2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0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5.2576599171139465E-2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9.0686728019913801E-2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8.5024768489552101E-3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2.1053084808691599E-4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1.7610780004150457E-2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1.4656219841483741E-4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7.4229393907059849E-2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7.0458822871601823E-2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6.9458822871601822E-2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6.7458822871601834E-2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1.3713453875763688E-2</v>
      </c>
      <c r="AB10" s="2">
        <f>SUMIFS(PERSALDATA!$G$2:$G$20871,PERSALDATA!$A$2:$A$20871,WORKING!A10,PERSALDATA!$D$2:$D$20871,WORKING!B10,PERSALDATA!$E$2:$E$20871,WORKING!C10,PERSALDATA!$F$2:$F$20871,"S&amp;W: BASIC SALARY (RES)")</f>
        <v>8</v>
      </c>
      <c r="AC10" s="2">
        <f>SUMIFS(PERSALDATA!$H$2:$H$20871,PERSALDATA!$A$2:$A$20871,WORKING!A10,PERSALDATA!$D$2:$D$20871,WORKING!B10,PERSALDATA!$E$2:$E$20871,WORKING!C10)</f>
        <v>3065251.5100000002</v>
      </c>
    </row>
    <row r="11" spans="1:29" x14ac:dyDescent="0.25">
      <c r="A11" s="2">
        <f>Results!$D$3</f>
        <v>22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0.7466506995079305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4.5630113578896389E-2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2.1977953634383627E-2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1.3124421070063442E-2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3.2706587053438409E-2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8.1572004428054359E-2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1.1048617417687281E-2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1.7791929833816745E-4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4.2596441094649051E-2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4.515242916558691E-3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7.4787567742534991E-2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7.0270819269457732E-2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6.9270819269457745E-2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6.7270819269457743E-2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1.4177063100207596E-2</v>
      </c>
      <c r="AB11" s="2">
        <f>SUMIFS(PERSALDATA!$G$2:$G$20871,PERSALDATA!$A$2:$A$20871,WORKING!A11,PERSALDATA!$D$2:$D$20871,WORKING!B11,PERSALDATA!$E$2:$E$20871,WORKING!C11,PERSALDATA!$F$2:$F$20871,"S&amp;W: BASIC SALARY (RES)")</f>
        <v>15</v>
      </c>
      <c r="AC11" s="2">
        <f>SUMIFS(PERSALDATA!$H$2:$H$20871,PERSALDATA!$A$2:$A$20871,WORKING!A11,PERSALDATA!$D$2:$D$20871,WORKING!B11,PERSALDATA!$E$2:$E$20871,WORKING!C11)</f>
        <v>9595979.8399999999</v>
      </c>
    </row>
    <row r="12" spans="1:29" x14ac:dyDescent="0.25">
      <c r="A12" s="2">
        <f>Results!$D$3</f>
        <v>22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0.77400898700395493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7.1431191424152857E-2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1.769578056685701E-2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2.8692000701560087E-2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9.4456304670551355E-2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1.3489152028595388E-4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1.3580844112637866E-2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7.5056808686740695E-2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7.0253422204854851E-2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6.9253422204854836E-2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6.7253422204854835E-2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1.4302159908169455E-2</v>
      </c>
      <c r="AB12" s="2">
        <f>SUMIFS(PERSALDATA!$G$2:$G$20871,PERSALDATA!$A$2:$A$20871,WORKING!A12,PERSALDATA!$D$2:$D$20871,WORKING!B12,PERSALDATA!$E$2:$E$20871,WORKING!C12,PERSALDATA!$F$2:$F$20871,"S&amp;W: BASIC SALARY (RES)")</f>
        <v>2</v>
      </c>
      <c r="AC12" s="2">
        <f>SUMIFS(PERSALDATA!$H$2:$H$20871,PERSALDATA!$A$2:$A$20871,WORKING!A12,PERSALDATA!$D$2:$D$20871,WORKING!B12,PERSALDATA!$E$2:$E$20871,WORKING!C12)</f>
        <v>644221.37</v>
      </c>
    </row>
    <row r="13" spans="1:29" x14ac:dyDescent="0.25">
      <c r="A13" s="2">
        <f>Results!$D$3</f>
        <v>22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0.68316434850276087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4.5984951105307779E-2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1.4031477159212382E-2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4.2117190171924047E-3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1.8131340492346139E-2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8.0267212567262602E-2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2.1004033590180288E-2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1.0661623683042286E-4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0.1047710913583291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2.832720997057803E-2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1.4515958491674167E-2</v>
      </c>
      <c r="AB13" s="2">
        <f>SUMIFS(PERSALDATA!$G$2:$G$20871,PERSALDATA!$A$2:$A$20871,WORKING!A13,PERSALDATA!$D$2:$D$20871,WORKING!B13,PERSALDATA!$E$2:$E$20871,WORKING!C13,PERSALDATA!$F$2:$F$20871,"S&amp;W: BASIC SALARY (RES)")</f>
        <v>22</v>
      </c>
      <c r="AC13" s="2">
        <f>SUMIFS(PERSALDATA!$H$2:$H$20871,PERSALDATA!$A$2:$A$20871,WORKING!A13,PERSALDATA!$D$2:$D$20871,WORKING!B13,PERSALDATA!$E$2:$E$20871,WORKING!C13)</f>
        <v>12127233.51</v>
      </c>
    </row>
    <row r="14" spans="1:29" x14ac:dyDescent="0.25">
      <c r="A14" s="2">
        <f>Results!$D$3</f>
        <v>22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0.71328023060856527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3.6354699666164052E-2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1.4046443868368213E-2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1.8579097254228551E-2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6.0153976934114485E-2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9.1996045593810329E-3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6.2249099367350766E-5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0.14832369800981091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1.4509683146670536E-2</v>
      </c>
      <c r="AB14" s="2">
        <f>SUMIFS(PERSALDATA!$G$2:$G$20871,PERSALDATA!$A$2:$A$20871,WORKING!A14,PERSALDATA!$D$2:$D$20871,WORKING!B14,PERSALDATA!$E$2:$E$20871,WORKING!C14,PERSALDATA!$F$2:$F$20871,"S&amp;W: BASIC SALARY (RES)")</f>
        <v>2</v>
      </c>
      <c r="AC14" s="2">
        <f>SUMIFS(PERSALDATA!$H$2:$H$20871,PERSALDATA!$A$2:$A$20871,WORKING!A14,PERSALDATA!$D$2:$D$20871,WORKING!B14,PERSALDATA!$E$2:$E$20871,WORKING!C14)</f>
        <v>3638928.1500000013</v>
      </c>
    </row>
    <row r="15" spans="1:29" x14ac:dyDescent="0.25">
      <c r="A15" s="2">
        <f>Results!$D$3</f>
        <v>22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0.68370604886835828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3.4569021600524698E-2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1.1209812164313935E-2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2.2393717979213964E-2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6.3122040790614842E-2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5.7134731534002223E-5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0.1750490262875074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5.8940688608752102E-3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3.9991287170575195E-3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1.4495090026874068E-2</v>
      </c>
      <c r="AB15" s="2">
        <f>SUMIFS(PERSALDATA!$G$2:$G$20871,PERSALDATA!$A$2:$A$20871,WORKING!A15,PERSALDATA!$D$2:$D$20871,WORKING!B15,PERSALDATA!$E$2:$E$20871,WORKING!C15,PERSALDATA!$F$2:$F$20871,"S&amp;W: BASIC SALARY (RES)")</f>
        <v>10</v>
      </c>
      <c r="AC15" s="2">
        <f>SUMIFS(PERSALDATA!$H$2:$H$20871,PERSALDATA!$A$2:$A$20871,WORKING!A15,PERSALDATA!$D$2:$D$20871,WORKING!B15,PERSALDATA!$E$2:$E$20871,WORKING!C15)</f>
        <v>13355799.170000004</v>
      </c>
    </row>
    <row r="16" spans="1:29" x14ac:dyDescent="0.25">
      <c r="A16" s="2">
        <f>Results!$D$3</f>
        <v>22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0.68950454707484155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1.3624178296774529E-2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2.5862172094827076E-4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1.0198725070004454E-2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1.7823873901025817E-2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3.3450167518690265E-5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0.25634382520077154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1.2212778568115102E-2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1.4842638045622926E-2</v>
      </c>
      <c r="AB16" s="2">
        <f>SUMIFS(PERSALDATA!$G$2:$G$20871,PERSALDATA!$A$2:$A$20871,WORKING!A16,PERSALDATA!$D$2:$D$20871,WORKING!B16,PERSALDATA!$E$2:$E$20871,WORKING!C16,PERSALDATA!$F$2:$F$20871,"S&amp;W: BASIC SALARY (RES)")</f>
        <v>3</v>
      </c>
      <c r="AC16" s="2">
        <f>SUMIFS(PERSALDATA!$H$2:$H$20871,PERSALDATA!$A$2:$A$20871,WORKING!A16,PERSALDATA!$D$2:$D$20871,WORKING!B16,PERSALDATA!$E$2:$E$20871,WORKING!C16)</f>
        <v>6445707.6300000008</v>
      </c>
    </row>
    <row r="17" spans="1:29" x14ac:dyDescent="0.25">
      <c r="A17" s="2">
        <f>Results!$D$3</f>
        <v>22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0.71185660920086125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9.7333875150937641E-3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2.5398415892327022E-2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1.9379861605199805E-2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1.9913365751468301E-5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0.23361181242076665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1.4472724248402416E-2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873282.81</v>
      </c>
    </row>
    <row r="18" spans="1:29" x14ac:dyDescent="0.25">
      <c r="A18" s="2">
        <f>Results!$D$3</f>
        <v>22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0.71185035095272942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1.1054932697011743E-3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2.7119458550307857E-3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1.7245670449985732E-3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1.5649039471051477E-5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0.26613746973216174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1.6427267313031652E-2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2.7256792875363178E-5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1.4958677224689338E-2</v>
      </c>
      <c r="AB18" s="2">
        <f>SUMIFS(PERSALDATA!$G$2:$G$20871,PERSALDATA!$A$2:$A$20871,WORKING!A18,PERSALDATA!$D$2:$D$20871,WORKING!B18,PERSALDATA!$E$2:$E$20871,WORKING!C18,PERSALDATA!$F$2:$F$20871,"S&amp;W: BASIC SALARY (RES)")</f>
        <v>27</v>
      </c>
      <c r="AC18" s="2">
        <f>SUMIFS(PERSALDATA!$H$2:$H$20871,PERSALDATA!$A$2:$A$20871,WORKING!A18,PERSALDATA!$D$2:$D$20871,WORKING!B18,PERSALDATA!$E$2:$E$20871,WORKING!C18)</f>
        <v>74926643.40000008</v>
      </c>
    </row>
    <row r="19" spans="1:29" x14ac:dyDescent="0.25">
      <c r="A19" s="2">
        <f>Results!$D$3</f>
        <v>22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22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0.68789345656909984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1.1250864661419614E-3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0.31098145696475832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1.4983123703007872E-2</v>
      </c>
      <c r="AB20" s="2">
        <f>SUMIFS(PERSALDATA!$G$2:$G$20871,PERSALDATA!$A$2:$A$20871,WORKING!A20,PERSALDATA!$D$2:$D$20871,WORKING!B20,PERSALDATA!$E$2:$E$20871,WORKING!C20,PERSALDATA!$F$2:$F$20871,"S&amp;W: BASIC SALARY (RES)")</f>
        <v>8</v>
      </c>
      <c r="AC20" s="2">
        <f>SUMIFS(PERSALDATA!$H$2:$H$20871,PERSALDATA!$A$2:$A$20871,WORKING!A20,PERSALDATA!$D$2:$D$20871,WORKING!B20,PERSALDATA!$E$2:$E$20871,WORKING!C20)</f>
        <v>222818.43</v>
      </c>
    </row>
    <row r="21" spans="1:29" x14ac:dyDescent="0.25">
      <c r="A21" s="2">
        <f>Results!$D$3</f>
        <v>22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22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0.68421404659910878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4.9251005423257284E-2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6.9446377510585647E-2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2.6910490485828301E-3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8.7729175834217757E-2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8.393583616506918E-2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5.1125101432320181E-3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4.8776575965386263E-4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1.4568819808889053E-2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7.7427840985297956E-4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1.7891352975506532E-3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7.1950283770874521E-2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7.0621473862407427E-2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6.9621473862407413E-2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6.7621473862407439E-2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1.2635050213433139E-2</v>
      </c>
      <c r="AB22" s="2">
        <f>SUMIFS(PERSALDATA!$G$2:$G$20871,PERSALDATA!$A$2:$A$20871,WORKING!A22,PERSALDATA!$D$2:$D$20871,WORKING!B22,PERSALDATA!$E$2:$E$20871,WORKING!C22,PERSALDATA!$F$2:$F$20871,"S&amp;W: BASIC SALARY (RES)")</f>
        <v>171</v>
      </c>
      <c r="AC22" s="2">
        <f>SUMIFS(PERSALDATA!$H$2:$H$20871,PERSALDATA!$A$2:$A$20871,WORKING!A22,PERSALDATA!$D$2:$D$20871,WORKING!B22,PERSALDATA!$E$2:$E$20871,WORKING!C22)</f>
        <v>28645122.629999999</v>
      </c>
    </row>
    <row r="23" spans="1:29" x14ac:dyDescent="0.25">
      <c r="A23" s="2">
        <f>Results!$D$3</f>
        <v>22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0.70145704344772963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5.0849925553879995E-2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5.960393875056335E-2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1.2971261396742114E-3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7.1999752604906112E-2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8.4646964955303369E-2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6.4915152992678481E-3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4.1685030957561088E-4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1.9001247703156605E-2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1.9664445630650927E-3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2.2691906728782838E-3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7.2478097191425894E-2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7.0483956901567973E-2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6.9483956901567973E-2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6.7483956901567957E-2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1.3019691875024322E-2</v>
      </c>
      <c r="AB23" s="2">
        <f>SUMIFS(PERSALDATA!$G$2:$G$20871,PERSALDATA!$A$2:$A$20871,WORKING!A23,PERSALDATA!$D$2:$D$20871,WORKING!B23,PERSALDATA!$E$2:$E$20871,WORKING!C23,PERSALDATA!$F$2:$F$20871,"S&amp;W: BASIC SALARY (RES)")</f>
        <v>57</v>
      </c>
      <c r="AC23" s="2">
        <f>SUMIFS(PERSALDATA!$H$2:$H$20871,PERSALDATA!$A$2:$A$20871,WORKING!A23,PERSALDATA!$D$2:$D$20871,WORKING!B23,PERSALDATA!$E$2:$E$20871,WORKING!C23)</f>
        <v>11742512.569999997</v>
      </c>
    </row>
    <row r="24" spans="1:29" x14ac:dyDescent="0.25">
      <c r="A24" s="2">
        <f>Results!$D$3</f>
        <v>22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0.70860392196059785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5.1370923980331246E-2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5.3649994679683122E-2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1.8014113203803684E-3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6.8940129899547148E-2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8.3006279371183406E-2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4.3297444420426221E-3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3.6325784945579755E-4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2.6265751232721693E-2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1.1841331433590154E-3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3.6582162808609361E-4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1.1863049261161623E-4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7.2887762222937746E-2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7.0497602001696386E-2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6.9497602001696385E-2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6.7497602001696397E-2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1.3155699263569709E-2</v>
      </c>
      <c r="AB24" s="2">
        <f>SUMIFS(PERSALDATA!$G$2:$G$20871,PERSALDATA!$A$2:$A$20871,WORKING!A24,PERSALDATA!$D$2:$D$20871,WORKING!B24,PERSALDATA!$E$2:$E$20871,WORKING!C24,PERSALDATA!$F$2:$F$20871,"S&amp;W: BASIC SALARY (RES)")</f>
        <v>472</v>
      </c>
      <c r="AC24" s="2">
        <f>SUMIFS(PERSALDATA!$H$2:$H$20871,PERSALDATA!$A$2:$A$20871,WORKING!A24,PERSALDATA!$D$2:$D$20871,WORKING!B24,PERSALDATA!$E$2:$E$20871,WORKING!C24)</f>
        <v>97118369.36999999</v>
      </c>
    </row>
    <row r="25" spans="1:29" x14ac:dyDescent="0.25">
      <c r="A25" s="2">
        <f>Results!$D$3</f>
        <v>22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0.7280916988061803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5.8411071180866116E-2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4.0041434615465381E-2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2.2562555002182839E-3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5.7074466297256828E-2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9.2627454892332969E-2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1.2271726068654875E-2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2.735619795097028E-4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5.7917698671221506E-3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3.160560792393441E-3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7.3755893497386232E-2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7.0455702648304197E-2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6.945570264830421E-2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6.7455702648304208E-2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1.3539158056616521E-2</v>
      </c>
      <c r="AB25" s="2">
        <f>SUMIFS(PERSALDATA!$G$2:$G$20871,PERSALDATA!$A$2:$A$20871,WORKING!A25,PERSALDATA!$D$2:$D$20871,WORKING!B25,PERSALDATA!$E$2:$E$20871,WORKING!C25,PERSALDATA!$F$2:$F$20871,"S&amp;W: BASIC SALARY (RES)")</f>
        <v>59</v>
      </c>
      <c r="AC25" s="2">
        <f>SUMIFS(PERSALDATA!$H$2:$H$20871,PERSALDATA!$A$2:$A$20871,WORKING!A25,PERSALDATA!$D$2:$D$20871,WORKING!B25,PERSALDATA!$E$2:$E$20871,WORKING!C25)</f>
        <v>16700200.839999998</v>
      </c>
    </row>
    <row r="26" spans="1:29" x14ac:dyDescent="0.25">
      <c r="A26" s="2">
        <f>Results!$D$3</f>
        <v>22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0.73925675854323303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4.7420718383299809E-2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2.5812696397272142E-2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5.1842395341283952E-4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3.8938919340645403E-2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7.1846356790906535E-2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3.5776440614677767E-3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2.4469028253670621E-4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6.9110923619878861E-2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2.4626477775005033E-3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8.1022084984637931E-4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7.4583379944576325E-2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7.0325956826136959E-2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6.9325956826136959E-2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6.7325956826136957E-2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1.4025055409693184E-2</v>
      </c>
      <c r="AB26" s="2">
        <f>SUMIFS(PERSALDATA!$G$2:$G$20871,PERSALDATA!$A$2:$A$20871,WORKING!A26,PERSALDATA!$D$2:$D$20871,WORKING!B26,PERSALDATA!$E$2:$E$20871,WORKING!C26,PERSALDATA!$F$2:$F$20871,"S&amp;W: BASIC SALARY (RES)")</f>
        <v>335</v>
      </c>
      <c r="AC26" s="2">
        <f>SUMIFS(PERSALDATA!$H$2:$H$20871,PERSALDATA!$A$2:$A$20871,WORKING!A26,PERSALDATA!$D$2:$D$20871,WORKING!B26,PERSALDATA!$E$2:$E$20871,WORKING!C26)</f>
        <v>105971106.53999999</v>
      </c>
    </row>
    <row r="27" spans="1:29" x14ac:dyDescent="0.25">
      <c r="A27" s="2">
        <f>Results!$D$3</f>
        <v>22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0.74992249695664293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5.8768490160079456E-2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3.1987606747815589E-2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4.6729086509000097E-4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4.1213153836098679E-2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9.7276364091943179E-2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1.7263419421404042E-2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2.0116035265788632E-4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2.9000175682681092E-3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7.4145926040871363E-2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7.0298321240063327E-2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6.9298321240063326E-2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6.7298321240063325E-2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1.3898971185951415E-2</v>
      </c>
      <c r="AB27" s="2">
        <f>SUMIFS(PERSALDATA!$G$2:$G$20871,PERSALDATA!$A$2:$A$20871,WORKING!A27,PERSALDATA!$D$2:$D$20871,WORKING!B27,PERSALDATA!$E$2:$E$20871,WORKING!C27,PERSALDATA!$F$2:$F$20871,"S&amp;W: BASIC SALARY (RES)")</f>
        <v>27</v>
      </c>
      <c r="AC27" s="2">
        <f>SUMIFS(PERSALDATA!$H$2:$H$20871,PERSALDATA!$A$2:$A$20871,WORKING!A27,PERSALDATA!$D$2:$D$20871,WORKING!B27,PERSALDATA!$E$2:$E$20871,WORKING!C27)</f>
        <v>11920241.58</v>
      </c>
    </row>
    <row r="28" spans="1:29" x14ac:dyDescent="0.25">
      <c r="A28" s="2">
        <f>Results!$D$3</f>
        <v>22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0.75705221130225642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4.1104408687697769E-2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1.7572413420640861E-2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8.4061202608786973E-4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2.452045544124062E-2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6.9470571481266549E-2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6.3710489738213428E-3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1.7272473437690677E-4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8.2528285809549018E-2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3.6726812306279966E-4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7.5007782956208677E-2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7.0192082697412214E-2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6.9192082697412227E-2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6.7192082697412212E-2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1.4366016096056127E-2</v>
      </c>
      <c r="AB28" s="2">
        <f>SUMIFS(PERSALDATA!$G$2:$G$20871,PERSALDATA!$A$2:$A$20871,WORKING!A28,PERSALDATA!$D$2:$D$20871,WORKING!B28,PERSALDATA!$E$2:$E$20871,WORKING!C28,PERSALDATA!$F$2:$F$20871,"S&amp;W: BASIC SALARY (RES)")</f>
        <v>103</v>
      </c>
      <c r="AC28" s="2">
        <f>SUMIFS(PERSALDATA!$H$2:$H$20871,PERSALDATA!$A$2:$A$20871,WORKING!A28,PERSALDATA!$D$2:$D$20871,WORKING!B28,PERSALDATA!$E$2:$E$20871,WORKING!C28)</f>
        <v>46982732.54999999</v>
      </c>
    </row>
    <row r="29" spans="1:29" x14ac:dyDescent="0.25">
      <c r="A29" s="2">
        <f>Results!$D$3</f>
        <v>22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0.76383070112610407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6.5391496221678766E-2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1.7778700972484924E-2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3.4910699537389563E-4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3.0792787833765052E-2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9.9297647321175492E-2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1.8727444331397173E-2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1.3507147773818794E-4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3.6970437202825733E-3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7.507991775576385E-2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7.0284104807781633E-2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6.9284104807781632E-2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6.7284104807781644E-2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1.4269401595740177E-2</v>
      </c>
      <c r="AB29" s="2">
        <f>SUMIFS(PERSALDATA!$G$2:$G$20871,PERSALDATA!$A$2:$A$20871,WORKING!A29,PERSALDATA!$D$2:$D$20871,WORKING!B29,PERSALDATA!$E$2:$E$20871,WORKING!C29,PERSALDATA!$F$2:$F$20871,"S&amp;W: BASIC SALARY (RES)")</f>
        <v>10</v>
      </c>
      <c r="AC29" s="2">
        <f>SUMIFS(PERSALDATA!$H$2:$H$20871,PERSALDATA!$A$2:$A$20871,WORKING!A29,PERSALDATA!$D$2:$D$20871,WORKING!B29,PERSALDATA!$E$2:$E$20871,WORKING!C29)</f>
        <v>5787824.4399999995</v>
      </c>
    </row>
    <row r="30" spans="1:29" x14ac:dyDescent="0.25">
      <c r="A30" s="2">
        <f>Results!$D$3</f>
        <v>22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0.69658617180188231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4.8528252949541932E-2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1.130665098029021E-2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2.8013449591881055E-4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1.7941491469580267E-2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8.7756781030796052E-2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1.9112734941374162E-2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1.070263945167932E-4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0.10707649466078958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1.0242698031445535E-2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1.0615632438643965E-3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1.455967246733419E-2</v>
      </c>
      <c r="AB30" s="2">
        <f>SUMIFS(PERSALDATA!$G$2:$G$20871,PERSALDATA!$A$2:$A$20871,WORKING!A30,PERSALDATA!$D$2:$D$20871,WORKING!B30,PERSALDATA!$E$2:$E$20871,WORKING!C30,PERSALDATA!$F$2:$F$20871,"S&amp;W: BASIC SALARY (RES)")</f>
        <v>27</v>
      </c>
      <c r="AC30" s="2">
        <f>SUMIFS(PERSALDATA!$H$2:$H$20871,PERSALDATA!$A$2:$A$20871,WORKING!A30,PERSALDATA!$D$2:$D$20871,WORKING!B30,PERSALDATA!$E$2:$E$20871,WORKING!C30)</f>
        <v>16734283.239999998</v>
      </c>
    </row>
    <row r="31" spans="1:29" x14ac:dyDescent="0.25">
      <c r="A31" s="2">
        <f>Results!$D$3</f>
        <v>22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0.70395067453714599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5.4351236260702908E-2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1.7816132980962338E-2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6.2635559362039922E-5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1.7023582687624678E-2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9.1513315448994381E-2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1.1241422678931018E-2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9.0905289253559389E-5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0.10395009455702305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1.4476040685632392E-2</v>
      </c>
      <c r="AB31" s="2">
        <f>SUMIFS(PERSALDATA!$G$2:$G$20871,PERSALDATA!$A$2:$A$20871,WORKING!A31,PERSALDATA!$D$2:$D$20871,WORKING!B31,PERSALDATA!$E$2:$E$20871,WORKING!C31,PERSALDATA!$F$2:$F$20871,"S&amp;W: BASIC SALARY (RES)")</f>
        <v>15</v>
      </c>
      <c r="AC31" s="2">
        <f>SUMIFS(PERSALDATA!$H$2:$H$20871,PERSALDATA!$A$2:$A$20871,WORKING!A31,PERSALDATA!$D$2:$D$20871,WORKING!B31,PERSALDATA!$E$2:$E$20871,WORKING!C31)</f>
        <v>10462427.52</v>
      </c>
    </row>
    <row r="32" spans="1:29" x14ac:dyDescent="0.25">
      <c r="A32" s="2">
        <f>Results!$D$3</f>
        <v>22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0.68900837413976901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2.272422231968519E-2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1.6988004114658888E-2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2.5001247364986559E-2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7.2603207949510251E-2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6.2726451176117119E-5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0.17361221766021392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1.4369220331037677E-2</v>
      </c>
      <c r="AB32" s="2">
        <f>SUMIFS(PERSALDATA!$G$2:$G$20871,PERSALDATA!$A$2:$A$20871,WORKING!A32,PERSALDATA!$D$2:$D$20871,WORKING!B32,PERSALDATA!$E$2:$E$20871,WORKING!C32,PERSALDATA!$F$2:$F$20871,"S&amp;W: BASIC SALARY (RES)")</f>
        <v>11</v>
      </c>
      <c r="AC32" s="2">
        <f>SUMIFS(PERSALDATA!$H$2:$H$20871,PERSALDATA!$A$2:$A$20871,WORKING!A32,PERSALDATA!$D$2:$D$20871,WORKING!B32,PERSALDATA!$E$2:$E$20871,WORKING!C32)</f>
        <v>10880736.709999999</v>
      </c>
    </row>
    <row r="33" spans="1:29" x14ac:dyDescent="0.25">
      <c r="A33" s="2">
        <f>Results!$D$3</f>
        <v>22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0.74331230662131875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0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7.0046234016762771E-3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8.4055480820115318E-3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9.6630530981974661E-2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6.8061590719621152E-5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0.14457892932229921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1.4767826503883891E-2</v>
      </c>
      <c r="AB33" s="2">
        <f>SUMIFS(PERSALDATA!$G$2:$G$20871,PERSALDATA!$A$2:$A$20871,WORKING!A33,PERSALDATA!$D$2:$D$20871,WORKING!B33,PERSALDATA!$E$2:$E$20871,WORKING!C33,PERSALDATA!$F$2:$F$20871,"S&amp;W: BASIC SALARY (RES)")</f>
        <v>1</v>
      </c>
      <c r="AC33" s="2">
        <f>SUMIFS(PERSALDATA!$H$2:$H$20871,PERSALDATA!$A$2:$A$20871,WORKING!A33,PERSALDATA!$D$2:$D$20871,WORKING!B33,PERSALDATA!$E$2:$E$20871,WORKING!C33)</f>
        <v>599603.97</v>
      </c>
    </row>
    <row r="34" spans="1:29" x14ac:dyDescent="0.25">
      <c r="A34" s="2">
        <f>Results!$D$3</f>
        <v>22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0.69647738056750497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6.301747010173693E-2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7.9671497119713483E-2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4.9677521733468401E-3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9.0541978438915996E-2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5.4687878985488894E-5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6.526923371979633E-2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1.3729590942419313E-2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1173569.01</v>
      </c>
    </row>
    <row r="35" spans="1:29" x14ac:dyDescent="0.25">
      <c r="A35" s="2">
        <f>Results!$D$3</f>
        <v>22</v>
      </c>
      <c r="B35" s="2">
        <v>2</v>
      </c>
      <c r="C35" s="2">
        <v>16</v>
      </c>
      <c r="D35" s="62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>0.73975263642639633</v>
      </c>
      <c r="E35" s="62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>0</v>
      </c>
      <c r="F35" s="62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>0</v>
      </c>
      <c r="G35" s="69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>0</v>
      </c>
      <c r="H35" s="62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>9.7433332359371809E-4</v>
      </c>
      <c r="I35" s="62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>0</v>
      </c>
      <c r="J35" s="62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>0</v>
      </c>
      <c r="K35" s="62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>0</v>
      </c>
      <c r="L35" s="62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>0</v>
      </c>
      <c r="M35" s="62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>0.25927303025000997</v>
      </c>
      <c r="N35" s="62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>0</v>
      </c>
      <c r="O35" s="62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>0</v>
      </c>
      <c r="P35" s="62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>0</v>
      </c>
      <c r="Q35" s="62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>0</v>
      </c>
      <c r="R35" s="62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>0</v>
      </c>
      <c r="S35" s="62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>0</v>
      </c>
      <c r="T35" s="62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>0</v>
      </c>
      <c r="U35" s="62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>0</v>
      </c>
      <c r="V35" s="62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>0</v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1.4985385000146094E-2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15241190.710000001</v>
      </c>
    </row>
    <row r="36" spans="1:29" x14ac:dyDescent="0.25">
      <c r="A36" s="2">
        <f>Results!$D$3</f>
        <v>22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22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0.99951124909529387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4.8875090470614868E-4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1.4992668736429408E-2</v>
      </c>
      <c r="AB37" s="2">
        <f>SUMIFS(PERSALDATA!$G$2:$G$20871,PERSALDATA!$A$2:$A$20871,WORKING!A37,PERSALDATA!$D$2:$D$20871,WORKING!B37,PERSALDATA!$E$2:$E$20871,WORKING!C37,PERSALDATA!$F$2:$F$20871,"S&amp;W: BASIC SALARY (RES)")</f>
        <v>2</v>
      </c>
      <c r="AC37" s="2">
        <f>SUMIFS(PERSALDATA!$H$2:$H$20871,PERSALDATA!$A$2:$A$20871,WORKING!A37,PERSALDATA!$D$2:$D$20871,WORKING!B37,PERSALDATA!$E$2:$E$20871,WORKING!C37)</f>
        <v>71570.2</v>
      </c>
    </row>
    <row r="38" spans="1:29" x14ac:dyDescent="0.25">
      <c r="A38" s="2">
        <f>Results!$D$3</f>
        <v>22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22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22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22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22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22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0.79653666618078478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2.8513358775066108E-3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4.077143824845901E-2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5.601142879374902E-2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0.10354895383953694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2.8017705996359344E-4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7.3685530696229587E-2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7.0432457049421637E-2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6.9432457049421636E-2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6.7432457049421649E-2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1.3544054338467424E-2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375262.7</v>
      </c>
    </row>
    <row r="44" spans="1:29" x14ac:dyDescent="0.25">
      <c r="A44" s="2">
        <f>Results!$D$3</f>
        <v>22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0.74169099415503414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6.7027844360964262E-2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4.1578399190052788E-2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5.307185668044595E-2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9.6419119767469849E-2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0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2.1178584603314193E-4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7.3583047655082237E-2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7.0380293858306173E-2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6.9380293858306186E-2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6.7380293858306184E-2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1.3577069374252024E-2</v>
      </c>
      <c r="AB44" s="2">
        <f>SUMIFS(PERSALDATA!$G$2:$G$20871,PERSALDATA!$A$2:$A$20871,WORKING!A44,PERSALDATA!$D$2:$D$20871,WORKING!B44,PERSALDATA!$E$2:$E$20871,WORKING!C44,PERSALDATA!$F$2:$F$20871,"S&amp;W: BASIC SALARY (RES)")</f>
        <v>1</v>
      </c>
      <c r="AC44" s="2">
        <f>SUMIFS(PERSALDATA!$H$2:$H$20871,PERSALDATA!$A$2:$A$20871,WORKING!A44,PERSALDATA!$D$2:$D$20871,WORKING!B44,PERSALDATA!$E$2:$E$20871,WORKING!C44)</f>
        <v>303041.96999999997</v>
      </c>
    </row>
    <row r="45" spans="1:29" x14ac:dyDescent="0.25">
      <c r="A45" s="2">
        <f>Results!$D$3</f>
        <v>22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0.75737286868760967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7.1681230423297562E-2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2.4834706182586801E-2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2.8864432911975588E-2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9.693852081267379E-2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1.6012708983498179E-2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1.8115538454298034E-4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4.1143766138155048E-3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7.4516664390891066E-2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7.0184619431853779E-2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6.9184619431853778E-2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6.7184619431853776E-2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1.4191795582813417E-2</v>
      </c>
      <c r="AB45" s="2">
        <f>SUMIFS(PERSALDATA!$G$2:$G$20871,PERSALDATA!$A$2:$A$20871,WORKING!A45,PERSALDATA!$D$2:$D$20871,WORKING!B45,PERSALDATA!$E$2:$E$20871,WORKING!C45,PERSALDATA!$F$2:$F$20871,"S&amp;W: BASIC SALARY (RES)")</f>
        <v>5</v>
      </c>
      <c r="AC45" s="2">
        <f>SUMIFS(PERSALDATA!$H$2:$H$20871,PERSALDATA!$A$2:$A$20871,WORKING!A45,PERSALDATA!$D$2:$D$20871,WORKING!B45,PERSALDATA!$E$2:$E$20871,WORKING!C45)</f>
        <v>2029418.01</v>
      </c>
    </row>
    <row r="46" spans="1:29" x14ac:dyDescent="0.25">
      <c r="A46" s="2">
        <f>Results!$D$3</f>
        <v>22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22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0.70654516361094755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0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-2.2619481046901209E-3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1.8580716157274382E-2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1.2097652446584331E-4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0.27701509181200235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1.5032114573703364E-2</v>
      </c>
      <c r="AB47" s="2">
        <f>SUMIFS(PERSALDATA!$G$2:$G$20871,PERSALDATA!$A$2:$A$20871,WORKING!A47,PERSALDATA!$D$2:$D$20871,WORKING!B47,PERSALDATA!$E$2:$E$20871,WORKING!C47,PERSALDATA!$F$2:$F$20871,"S&amp;W: BASIC SALARY (RES)")</f>
        <v>2</v>
      </c>
      <c r="AC47" s="2">
        <f>SUMIFS(PERSALDATA!$H$2:$H$20871,PERSALDATA!$A$2:$A$20871,WORKING!A47,PERSALDATA!$D$2:$D$20871,WORKING!B47,PERSALDATA!$E$2:$E$20871,WORKING!C47)</f>
        <v>530516.15</v>
      </c>
    </row>
    <row r="48" spans="1:29" x14ac:dyDescent="0.25">
      <c r="A48" s="2">
        <f>Results!$D$3</f>
        <v>22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0.7432894569266304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0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3.3647981213659126E-2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2.7423104689132189E-2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9.6627412370983129E-2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9.8925064768157843E-5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9.8913119734826985E-2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1.4082449835486607E-2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59438.93</v>
      </c>
    </row>
    <row r="49" spans="1:29" x14ac:dyDescent="0.25">
      <c r="A49" s="2">
        <f>Results!$D$3</f>
        <v>22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0.67791028316065716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6.8784675608571114E-2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2.4799457225852775E-4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3.608899680363515E-2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8.8128186112850351E-2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7.4782763264559036E-5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0.12876508097876299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1.4453823387912623E-2</v>
      </c>
      <c r="AB49" s="2">
        <f>SUMIFS(PERSALDATA!$G$2:$G$20871,PERSALDATA!$A$2:$A$20871,WORKING!A49,PERSALDATA!$D$2:$D$20871,WORKING!B49,PERSALDATA!$E$2:$E$20871,WORKING!C49,PERSALDATA!$F$2:$F$20871,"S&amp;W: BASIC SALARY (RES)")</f>
        <v>3</v>
      </c>
      <c r="AC49" s="2">
        <f>SUMIFS(PERSALDATA!$H$2:$H$20871,PERSALDATA!$A$2:$A$20871,WORKING!A49,PERSALDATA!$D$2:$D$20871,WORKING!B49,PERSALDATA!$E$2:$E$20871,WORKING!C49)</f>
        <v>2419407.7900000005</v>
      </c>
    </row>
    <row r="50" spans="1:29" x14ac:dyDescent="0.25">
      <c r="A50" s="2">
        <f>Results!$D$3</f>
        <v>22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0.65194506875731528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3.6833379477969629E-2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1.2266588736842223E-2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4.2653153069160867E-3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8.4752728883492681E-2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6.3955363335207075E-5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0.20987296347412893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1.4751062108893598E-2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1641613.69</v>
      </c>
    </row>
    <row r="51" spans="1:29" x14ac:dyDescent="0.25">
      <c r="A51" s="2">
        <f>Results!$D$3</f>
        <v>22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0.59740548919019065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5.405341705811862E-2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6.7534475006475669E-3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7.7662599758204401E-2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5.4726800579742538E-5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0.26407031969225903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1.4897877385481588E-2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1172734.3700000001</v>
      </c>
    </row>
    <row r="52" spans="1:29" x14ac:dyDescent="0.25">
      <c r="A52" s="2">
        <f>Results!$D$3</f>
        <v>22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22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22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9.3427610512250518E-3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0.990657238948775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1.5000000000000001E-2</v>
      </c>
      <c r="AB54" s="2">
        <f>SUMIFS(PERSALDATA!$G$2:$G$20871,PERSALDATA!$A$2:$A$20871,WORKING!A54,PERSALDATA!$D$2:$D$20871,WORKING!B54,PERSALDATA!$E$2:$E$20871,WORKING!C54,PERSALDATA!$F$2:$F$20871,"S&amp;W: BASIC SALARY (RES)")</f>
        <v>2</v>
      </c>
      <c r="AC54" s="2">
        <f>SUMIFS(PERSALDATA!$H$2:$H$20871,PERSALDATA!$A$2:$A$20871,WORKING!A54,PERSALDATA!$D$2:$D$20871,WORKING!B54,PERSALDATA!$E$2:$E$20871,WORKING!C54)</f>
        <v>642208.43999999994</v>
      </c>
    </row>
    <row r="55" spans="1:29" x14ac:dyDescent="0.25">
      <c r="A55" s="2">
        <f>Results!$D$3</f>
        <v>22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22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0.57634210675247988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4.6738087083535745E-2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0.16558077895050605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2.6186516984600942E-2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9.1091270108443909E-2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7.351950224698256E-2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1.6158104626500313E-2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3.8807475026389964E-4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3.995558496686839E-3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0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6.4691138581279756E-2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6.971056126212162E-2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6.8710561262121606E-2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6.6710561262121618E-2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1.1144098142861793E-2</v>
      </c>
      <c r="AB56" s="2">
        <f>SUMIFS(PERSALDATA!$G$2:$G$20871,PERSALDATA!$A$2:$A$20871,WORKING!A56,PERSALDATA!$D$2:$D$20871,WORKING!B56,PERSALDATA!$E$2:$E$20871,WORKING!C56,PERSALDATA!$F$2:$F$20871,"S&amp;W: BASIC SALARY (RES)")</f>
        <v>48</v>
      </c>
      <c r="AC56" s="2">
        <f>SUMIFS(PERSALDATA!$H$2:$H$20871,PERSALDATA!$A$2:$A$20871,WORKING!A56,PERSALDATA!$D$2:$D$20871,WORKING!B56,PERSALDATA!$E$2:$E$20871,WORKING!C56)</f>
        <v>721098.19</v>
      </c>
    </row>
    <row r="57" spans="1:29" x14ac:dyDescent="0.25">
      <c r="A57" s="2">
        <f>Results!$D$3</f>
        <v>22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0.59488522982246916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6.3643308801324308E-2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0.17241141398282306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9.1394512306328612E-2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7.733397237304647E-2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0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3.3156271400828667E-4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6.4176255709594024E-2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6.9646803544766697E-2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6.8646803544766696E-2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6.6646803544766695E-2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1.1037937664952599E-2</v>
      </c>
      <c r="AB57" s="2">
        <f>SUMIFS(PERSALDATA!$G$2:$G$20871,PERSALDATA!$A$2:$A$20871,WORKING!A57,PERSALDATA!$D$2:$D$20871,WORKING!B57,PERSALDATA!$E$2:$E$20871,WORKING!C57,PERSALDATA!$F$2:$F$20871,"S&amp;W: BASIC SALARY (RES)")</f>
        <v>19</v>
      </c>
      <c r="AC57" s="2">
        <f>SUMIFS(PERSALDATA!$H$2:$H$20871,PERSALDATA!$A$2:$A$20871,WORKING!A57,PERSALDATA!$D$2:$D$20871,WORKING!B57,PERSALDATA!$E$2:$E$20871,WORKING!C57)</f>
        <v>334084.61000000004</v>
      </c>
    </row>
    <row r="58" spans="1:29" x14ac:dyDescent="0.25">
      <c r="A58" s="2">
        <f>Results!$D$3</f>
        <v>22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0.60719544405008374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4.7464215505718284E-2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0.13399256225394029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2.6978738482720615E-3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7.5111733802312119E-2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7.2008701452849933E-2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4.1529292602926107E-2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2.8854272212215626E-4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1.9711633761775153E-2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6.6868129541932872E-2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6.9786750384495264E-2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6.8786750384495277E-2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6.6786750384495275E-2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1.1859107418324379E-2</v>
      </c>
      <c r="AB58" s="2">
        <f>SUMIFS(PERSALDATA!$G$2:$G$20871,PERSALDATA!$A$2:$A$20871,WORKING!A58,PERSALDATA!$D$2:$D$20871,WORKING!B58,PERSALDATA!$E$2:$E$20871,WORKING!C58,PERSALDATA!$F$2:$F$20871,"S&amp;W: BASIC SALARY (RES)")</f>
        <v>82</v>
      </c>
      <c r="AC58" s="2">
        <f>SUMIFS(PERSALDATA!$H$2:$H$20871,PERSALDATA!$A$2:$A$20871,WORKING!A58,PERSALDATA!$D$2:$D$20871,WORKING!B58,PERSALDATA!$E$2:$E$20871,WORKING!C58)</f>
        <v>1656808.3800000001</v>
      </c>
    </row>
    <row r="59" spans="1:29" x14ac:dyDescent="0.25">
      <c r="A59" s="2">
        <f>Results!$D$3</f>
        <v>22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0.59965648403828764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4.237209240419508E-2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8.3547966008491945E-2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1.9972412533959899E-2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6.5442289911586723E-2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7.7954556272050696E-2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0.1108222537638901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2.3194506753786094E-4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7.0566546642116812E-2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7.0146154688588883E-2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6.9146154688588882E-2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6.7146154688588894E-2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1.2761666985185752E-2</v>
      </c>
      <c r="AB59" s="2">
        <f>SUMIFS(PERSALDATA!$G$2:$G$20871,PERSALDATA!$A$2:$A$20871,WORKING!A59,PERSALDATA!$D$2:$D$20871,WORKING!B59,PERSALDATA!$E$2:$E$20871,WORKING!C59,PERSALDATA!$F$2:$F$20871,"S&amp;W: BASIC SALARY (RES)")</f>
        <v>11</v>
      </c>
      <c r="AC59" s="2">
        <f>SUMIFS(PERSALDATA!$H$2:$H$20871,PERSALDATA!$A$2:$A$20871,WORKING!A59,PERSALDATA!$D$2:$D$20871,WORKING!B59,PERSALDATA!$E$2:$E$20871,WORKING!C59)</f>
        <v>276487.88</v>
      </c>
    </row>
    <row r="60" spans="1:29" x14ac:dyDescent="0.25">
      <c r="A60" s="2">
        <f>Results!$D$3</f>
        <v>22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0.70097695896805079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6.7051204289263991E-2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7.244776156561214E-2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6.801297090751432E-3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4.9952219707574928E-2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8.600437580866499E-2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2.1768053113471454E-4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1.4578440838534599E-2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1.9700612004121946E-3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7.1193301196919495E-2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7.0024805679957489E-2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6.9024805679957488E-2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6.7024805679957486E-2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1.316073507293517E-2</v>
      </c>
      <c r="AB60" s="2">
        <f>SUMIFS(PERSALDATA!$G$2:$G$20871,PERSALDATA!$A$2:$A$20871,WORKING!A60,PERSALDATA!$D$2:$D$20871,WORKING!B60,PERSALDATA!$E$2:$E$20871,WORKING!C60,PERSALDATA!$F$2:$F$20871,"S&amp;W: BASIC SALARY (RES)")</f>
        <v>62</v>
      </c>
      <c r="AC60" s="2">
        <f>SUMIFS(PERSALDATA!$H$2:$H$20871,PERSALDATA!$A$2:$A$20871,WORKING!A60,PERSALDATA!$D$2:$D$20871,WORKING!B60,PERSALDATA!$E$2:$E$20871,WORKING!C60)</f>
        <v>1660506.7900000003</v>
      </c>
    </row>
    <row r="61" spans="1:29" x14ac:dyDescent="0.25">
      <c r="A61" s="2">
        <f>Results!$D$3</f>
        <v>22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0.62785183491691798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0.16193120663102195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7.3888147157969861E-2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5.454582987231265E-2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8.1620148195755554E-2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0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1.6283322602201399E-4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7.1148142434206668E-2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7.007930597650501E-2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6.9079305976504995E-2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6.7079305976504994E-2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1.3071047846155433E-2</v>
      </c>
      <c r="AB61" s="2">
        <f>SUMIFS(PERSALDATA!$G$2:$G$20871,PERSALDATA!$A$2:$A$20871,WORKING!A61,PERSALDATA!$D$2:$D$20871,WORKING!B61,PERSALDATA!$E$2:$E$20871,WORKING!C61,PERSALDATA!$F$2:$F$20871,"S&amp;W: BASIC SALARY (RES)")</f>
        <v>11</v>
      </c>
      <c r="AC61" s="2">
        <f>SUMIFS(PERSALDATA!$H$2:$H$20871,PERSALDATA!$A$2:$A$20871,WORKING!A61,PERSALDATA!$D$2:$D$20871,WORKING!B61,PERSALDATA!$E$2:$E$20871,WORKING!C61)</f>
        <v>393838.54</v>
      </c>
    </row>
    <row r="62" spans="1:29" x14ac:dyDescent="0.25">
      <c r="A62" s="2">
        <f>Results!$D$3</f>
        <v>22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0.72727116614109988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4.562107568963676E-4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7.3559116666818674E-3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4.2969558000922128E-2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1.4274126396497472E-2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5.0061565519044634E-3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6.7270533359616141E-5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0.19762202472339793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4.9775752292403512E-3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7.6042524525345087E-2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7.0570984253347013E-2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6.9570984253347012E-2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6.7570984253347038E-2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1.4244108896985547E-2</v>
      </c>
      <c r="AB62" s="2">
        <f>SUMIFS(PERSALDATA!$G$2:$G$20871,PERSALDATA!$A$2:$A$20871,WORKING!A62,PERSALDATA!$D$2:$D$20871,WORKING!B62,PERSALDATA!$E$2:$E$20871,WORKING!C62,PERSALDATA!$F$2:$F$20871,"S&amp;W: BASIC SALARY (RES)")</f>
        <v>45</v>
      </c>
      <c r="AC62" s="2">
        <f>SUMIFS(PERSALDATA!$H$2:$H$20871,PERSALDATA!$A$2:$A$20871,WORKING!A62,PERSALDATA!$D$2:$D$20871,WORKING!B62,PERSALDATA!$E$2:$E$20871,WORKING!C62)</f>
        <v>3466599.5400000005</v>
      </c>
    </row>
    <row r="63" spans="1:29" x14ac:dyDescent="0.25">
      <c r="A63" s="2">
        <f>Results!$D$3</f>
        <v>22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0.73632067592084849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4.9112416793425635E-4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4.5404391488529094E-3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6.1252542090980792E-2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1.4443631335875092E-2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0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1.7647173491874976E-5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0.18293394016201658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7.6512462213960922E-2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7.0873383739876186E-2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6.9873383739876185E-2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6.7873383739876184E-2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1.4012840573800117E-2</v>
      </c>
      <c r="AB63" s="2">
        <f>SUMIFS(PERSALDATA!$G$2:$G$20871,PERSALDATA!$A$2:$A$20871,WORKING!A63,PERSALDATA!$D$2:$D$20871,WORKING!B63,PERSALDATA!$E$2:$E$20871,WORKING!C63,PERSALDATA!$F$2:$F$20871,"S&amp;W: BASIC SALARY (RES)")</f>
        <v>5</v>
      </c>
      <c r="AC63" s="2">
        <f>SUMIFS(PERSALDATA!$H$2:$H$20871,PERSALDATA!$A$2:$A$20871,WORKING!A63,PERSALDATA!$D$2:$D$20871,WORKING!B63,PERSALDATA!$E$2:$E$20871,WORKING!C63)</f>
        <v>991093.56</v>
      </c>
    </row>
    <row r="64" spans="1:29" x14ac:dyDescent="0.25">
      <c r="A64" s="2">
        <f>Results!$D$3</f>
        <v>22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0.71824516444010755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0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6.9539640440006403E-4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3.5727880776947329E-2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2.1568077054339653E-3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0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2.6017397963435735E-6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0.24315479358842951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1.7355344885043151E-5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1.445361181618284E-2</v>
      </c>
      <c r="AB64" s="2">
        <f>SUMIFS(PERSALDATA!$G$2:$G$20871,PERSALDATA!$A$2:$A$20871,WORKING!A64,PERSALDATA!$D$2:$D$20871,WORKING!B64,PERSALDATA!$E$2:$E$20871,WORKING!C64,PERSALDATA!$F$2:$F$20871,"S&amp;W: BASIC SALARY (RES)")</f>
        <v>18</v>
      </c>
      <c r="AC64" s="2">
        <f>SUMIFS(PERSALDATA!$H$2:$H$20871,PERSALDATA!$A$2:$A$20871,WORKING!A64,PERSALDATA!$D$2:$D$20871,WORKING!B64,PERSALDATA!$E$2:$E$20871,WORKING!C64)</f>
        <v>8963233.0000000019</v>
      </c>
    </row>
    <row r="65" spans="1:29" x14ac:dyDescent="0.25">
      <c r="A65" s="2">
        <f>Results!$D$3</f>
        <v>22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0.72262711169972726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0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2.6444480582082675E-4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4.2625514692644827E-2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1.031653085077719E-3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0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9.1878022522969008E-7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0.23345035693650426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1.4356636825819639E-2</v>
      </c>
      <c r="AB65" s="2">
        <f>SUMIFS(PERSALDATA!$G$2:$G$20871,PERSALDATA!$A$2:$A$20871,WORKING!A65,PERSALDATA!$D$2:$D$20871,WORKING!B65,PERSALDATA!$E$2:$E$20871,WORKING!C65,PERSALDATA!$F$2:$F$20871,"S&amp;W: BASIC SALARY (RES)")</f>
        <v>8</v>
      </c>
      <c r="AC65" s="2">
        <f>SUMIFS(PERSALDATA!$H$2:$H$20871,PERSALDATA!$A$2:$A$20871,WORKING!A65,PERSALDATA!$D$2:$D$20871,WORKING!B65,PERSALDATA!$E$2:$E$20871,WORKING!C65)</f>
        <v>6345369.4799999986</v>
      </c>
    </row>
    <row r="66" spans="1:29" x14ac:dyDescent="0.25">
      <c r="A66" s="2">
        <f>Results!$D$3</f>
        <v>22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0.7250132408669564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1.11738254294974E-3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8.7351470703868106E-5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2.4193727887324597E-2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1.4525959955626012E-4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1.2731476855088776E-7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0.24944291031774068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1.4635781899908046E-2</v>
      </c>
      <c r="AB66" s="2">
        <f>SUMIFS(PERSALDATA!$G$2:$G$20871,PERSALDATA!$A$2:$A$20871,WORKING!A66,PERSALDATA!$D$2:$D$20871,WORKING!B66,PERSALDATA!$E$2:$E$20871,WORKING!C66,PERSALDATA!$F$2:$F$20871,"S&amp;W: BASIC SALARY (RES)")</f>
        <v>48</v>
      </c>
      <c r="AC66" s="2">
        <f>SUMIFS(PERSALDATA!$H$2:$H$20871,PERSALDATA!$A$2:$A$20871,WORKING!A66,PERSALDATA!$D$2:$D$20871,WORKING!B66,PERSALDATA!$E$2:$E$20871,WORKING!C66)</f>
        <v>45792016.639999993</v>
      </c>
    </row>
    <row r="67" spans="1:29" x14ac:dyDescent="0.25">
      <c r="A67" s="2">
        <f>Results!$D$3</f>
        <v>22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0.7280342493943347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0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2.4187040778342529E-2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0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0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0.24777870982732286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1.4637194388324863E-2</v>
      </c>
      <c r="AB67" s="2">
        <f>SUMIFS(PERSALDATA!$G$2:$G$20871,PERSALDATA!$A$2:$A$20871,WORKING!A67,PERSALDATA!$D$2:$D$20871,WORKING!B67,PERSALDATA!$E$2:$E$20871,WORKING!C67,PERSALDATA!$F$2:$F$20871,"S&amp;W: BASIC SALARY (RES)")</f>
        <v>9</v>
      </c>
      <c r="AC67" s="2">
        <f>SUMIFS(PERSALDATA!$H$2:$H$20871,PERSALDATA!$A$2:$A$20871,WORKING!A67,PERSALDATA!$D$2:$D$20871,WORKING!B67,PERSALDATA!$E$2:$E$20871,WORKING!C67)</f>
        <v>18436978.879999999</v>
      </c>
    </row>
    <row r="68" spans="1:29" x14ac:dyDescent="0.25">
      <c r="A68" s="2">
        <f>Results!$D$3</f>
        <v>22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0.72262499489769405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3.3573241530272115E-2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0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0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0.24380176357203392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1.449640137704592E-2</v>
      </c>
      <c r="AB68" s="2">
        <f>SUMIFS(PERSALDATA!$G$2:$G$20871,PERSALDATA!$A$2:$A$20871,WORKING!A68,PERSALDATA!$D$2:$D$20871,WORKING!B68,PERSALDATA!$E$2:$E$20871,WORKING!C68,PERSALDATA!$F$2:$F$20871,"S&amp;W: BASIC SALARY (RES)")</f>
        <v>2</v>
      </c>
      <c r="AC68" s="2">
        <f>SUMIFS(PERSALDATA!$H$2:$H$20871,PERSALDATA!$A$2:$A$20871,WORKING!A68,PERSALDATA!$D$2:$D$20871,WORKING!B68,PERSALDATA!$E$2:$E$20871,WORKING!C68)</f>
        <v>4323780.29</v>
      </c>
    </row>
    <row r="69" spans="1:29" x14ac:dyDescent="0.25">
      <c r="A69" s="2">
        <f>Results!$D$3</f>
        <v>22</v>
      </c>
      <c r="B69" s="2">
        <v>4</v>
      </c>
      <c r="C69" s="2">
        <v>16</v>
      </c>
      <c r="D69" s="62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>0.72017391720745882</v>
      </c>
      <c r="E69" s="62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>0</v>
      </c>
      <c r="F69" s="62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>0</v>
      </c>
      <c r="G69" s="69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>0</v>
      </c>
      <c r="H69" s="62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>2.9964518823664258E-3</v>
      </c>
      <c r="I69" s="62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>0</v>
      </c>
      <c r="J69" s="62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>0</v>
      </c>
      <c r="K69" s="62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>4.1060906911727953E-6</v>
      </c>
      <c r="L69" s="62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>0</v>
      </c>
      <c r="M69" s="62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>0.27138804314951026</v>
      </c>
      <c r="N69" s="62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>5.4258871886611543E-3</v>
      </c>
      <c r="O69" s="62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>0</v>
      </c>
      <c r="P69" s="62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>0</v>
      </c>
      <c r="Q69" s="62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>0</v>
      </c>
      <c r="R69" s="62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>0</v>
      </c>
      <c r="S69" s="62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>0</v>
      </c>
      <c r="T69" s="62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>0</v>
      </c>
      <c r="U69" s="62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>1.1594481312218628E-5</v>
      </c>
      <c r="V69" s="62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>0</v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1.4954817713184453E-2</v>
      </c>
      <c r="AB69" s="2">
        <f>SUMIFS(PERSALDATA!$G$2:$G$20871,PERSALDATA!$A$2:$A$20871,WORKING!A69,PERSALDATA!$D$2:$D$20871,WORKING!B69,PERSALDATA!$E$2:$E$20871,WORKING!C69,PERSALDATA!$F$2:$F$20871,"S&amp;W: BASIC SALARY (RES)")</f>
        <v>515</v>
      </c>
      <c r="AC69" s="2">
        <f>SUMIFS(PERSALDATA!$H$2:$H$20871,PERSALDATA!$A$2:$A$20871,WORKING!A69,PERSALDATA!$D$2:$D$20871,WORKING!B69,PERSALDATA!$E$2:$E$20871,WORKING!C69)</f>
        <v>654415647.90000033</v>
      </c>
    </row>
    <row r="70" spans="1:29" x14ac:dyDescent="0.25">
      <c r="A70" s="2">
        <f>Results!$D$3</f>
        <v>22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22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22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22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22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22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22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22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22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22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22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22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22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22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22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22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22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22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22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22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22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22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22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22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22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22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22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22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22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22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22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22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22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22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22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22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22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22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22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22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22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22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22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22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22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22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22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22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22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22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22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22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22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22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22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22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22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22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22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22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22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22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22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22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22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22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22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22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22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22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22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22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22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22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22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22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22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22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22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22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22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22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22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22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22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22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22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22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22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22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22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22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22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22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22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22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22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22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22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22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22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22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22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22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22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22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22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22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22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22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22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22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22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22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22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22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22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22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22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22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22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22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22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22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22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22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22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22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22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22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22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22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22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22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22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22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22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22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22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22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22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22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22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22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22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22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22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22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22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22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22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22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22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22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22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22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22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22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22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22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22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22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22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22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22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22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22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22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22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22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22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22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22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22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22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22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22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22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22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22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22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22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22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22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22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22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22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22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22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22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22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22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22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22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22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22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22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22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22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22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22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22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22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22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22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22</v>
      </c>
      <c r="E3" s="74" t="str">
        <f>INDEX(MAPs!$I$7:$J$54,MATCH(Results!$D$3,MAPs!$I$7:$I$54,0),2)</f>
        <v>National Office of the Chief Justice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662.08258667705491</v>
      </c>
      <c r="N9" s="148">
        <f>IFERROR(SUMIFS('Employee Profile (2)'!C$4:C$50,'Employee Profile (2)'!$B$4:$B$50,Results!$D$3),"")</f>
        <v>0.28282041293338528</v>
      </c>
      <c r="O9" s="150" t="s">
        <v>620</v>
      </c>
      <c r="P9" s="143">
        <f>IFERROR(INDEX('Employee Profile (2)'!$AC$4:$AC$50,MATCH(Results!$D$3,'Employee Profile (2)'!$B$4:$B$50,0))*$Q9,"")</f>
        <v>1698.9805220101287</v>
      </c>
      <c r="Q9" s="148">
        <f>IFERROR(SUMIFS('Employee Profile (2)'!J$4:J$50,'Employee Profile (2)'!$B$4:$B$50,Results!$D$3),"")</f>
        <v>0.72574990261005068</v>
      </c>
      <c r="R9" s="150" t="s">
        <v>627</v>
      </c>
      <c r="S9" s="144">
        <f>IFERROR(INDEX('Employee Profile (2)'!$AC$4:$AC$50,MATCH(Results!$D$3,'Employee Profile (2)'!$B$4:$B$50,0))*$T9,"")</f>
        <v>118.55473315153876</v>
      </c>
      <c r="T9" s="147">
        <f>IFERROR(SUMIFS('Employee Profile (2)'!N$4:N$50,'Employee Profile (2)'!$B$4:$B$50,Results!$D$3),"")</f>
        <v>5.0642773665757694E-2</v>
      </c>
      <c r="U9" s="150" t="s">
        <v>632</v>
      </c>
      <c r="V9" s="144">
        <f>IFERROR(INDEX('Employee Profile (2)'!$AC$4:$AC$50,MATCH(Results!$D$3,'Employee Profile (2)'!$B$4:$B$50,0))*$W9,"")</f>
        <v>1086.1437475652513</v>
      </c>
      <c r="W9" s="147">
        <f>IFERROR(SUMIFS('Employee Profile (2)'!S$4:S$50,'Employee Profile (2)'!$B$4:$B$50,Results!$D$3),"")</f>
        <v>0.46396571873782627</v>
      </c>
      <c r="X9" s="150" t="s">
        <v>635</v>
      </c>
      <c r="Y9" s="144">
        <f>IFERROR(INDEX('Employee Profile (2)'!$AC$4:$AC$50,MATCH(Results!$D$3,'Employee Profile (2)'!$B$4:$B$50,0))*$Z9,"")</f>
        <v>1234.7931437475654</v>
      </c>
      <c r="Z9" s="147">
        <f>IFERROR(SUMIFS('Employee Profile (2)'!V$4:V$50,'Employee Profile (2)'!$B$4:$B$50,Results!$D$3),"")</f>
        <v>0.52746396571873788</v>
      </c>
      <c r="AA9" s="150" t="s">
        <v>675</v>
      </c>
      <c r="AB9" s="144">
        <f>IFERROR(SUMIFS('Employee Profile (2)'!$AD$4:$AD$50,'Employee Profile (2)'!$B$4:$B$50,Results!$D$3),"")</f>
        <v>142</v>
      </c>
      <c r="AC9" s="147">
        <f>IFERROR(SUMIFS('Employee Profile (2)'!$AE$4:$AE$50,'Employee Profile (2)'!$B$4:$B$50,Results!$D$3),"")</f>
        <v>6.0657838530542504E-2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12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661.17062719127387</v>
      </c>
      <c r="N10" s="148">
        <f>IFERROR(SUMIFS('Employee Profile (2)'!D$4:D$50,'Employee Profile (2)'!$B$4:$B$50,Results!$D$3),"")</f>
        <v>0.28243085313595639</v>
      </c>
      <c r="O10" s="150" t="s">
        <v>621</v>
      </c>
      <c r="P10" s="143">
        <f>IFERROR(INDEX('Employee Profile (2)'!$AC$4:$AC$50,MATCH(Results!$D$3,'Employee Profile (2)'!$B$4:$B$50,0))*$Q10,"")</f>
        <v>460.53954031943903</v>
      </c>
      <c r="Q10" s="148">
        <f>IFERROR(SUMIFS('Employee Profile (2)'!K$4:K$50,'Employee Profile (2)'!$B$4:$B$50,Results!$D$3),"")</f>
        <v>0.1967276977015972</v>
      </c>
      <c r="R10" s="150" t="s">
        <v>628</v>
      </c>
      <c r="S10" s="144">
        <f>IFERROR(INDEX('Employee Profile (2)'!$AC$4:$AC$50,MATCH(Results!$D$3,'Employee Profile (2)'!$B$4:$B$50,0))*$T10,"")</f>
        <v>1103.4709777950916</v>
      </c>
      <c r="T10" s="147">
        <f>IFERROR(SUMIFS('Employee Profile (2)'!O$4:O$50,'Employee Profile (2)'!$B$4:$B$50,Results!$D$3),"")</f>
        <v>0.47136735488897546</v>
      </c>
      <c r="U10" s="150" t="s">
        <v>633</v>
      </c>
      <c r="V10" s="144">
        <f>IFERROR(INDEX('Employee Profile (2)'!$AC$4:$AC$50,MATCH(Results!$D$3,'Employee Profile (2)'!$B$4:$B$50,0))*$W10,"")</f>
        <v>891.89637709388398</v>
      </c>
      <c r="W10" s="147">
        <f>IFERROR(SUMIFS('Employee Profile (2)'!T$4:T$50,'Employee Profile (2)'!$B$4:$B$50,Results!$D$3),"")</f>
        <v>0.38098948188546944</v>
      </c>
      <c r="X10" s="150" t="s">
        <v>636</v>
      </c>
      <c r="Y10" s="144">
        <f>IFERROR(INDEX('Employee Profile (2)'!$AC$4:$AC$50,MATCH(Results!$D$3,'Employee Profile (2)'!$B$4:$B$50,0))*$Z10,"")</f>
        <v>175.09622126996496</v>
      </c>
      <c r="Z10" s="147">
        <f>IFERROR(SUMIFS('Employee Profile (2)'!W$4:W$50,'Employee Profile (2)'!$B$4:$B$50,Results!$D$3),"")</f>
        <v>7.4795481106349829E-2</v>
      </c>
      <c r="AA10" s="150" t="s">
        <v>676</v>
      </c>
      <c r="AB10" s="144">
        <f>IFERROR(INDEX('Employee Profile (2)'!$AC$4:$AC$50,MATCH(Results!$D$3,'Employee Profile (2)'!$B$4:$B$50))-$AB$9,"")</f>
        <v>2199</v>
      </c>
      <c r="AC10" s="147">
        <f>IFERROR(100%-$AC$9,"")</f>
        <v>0.93934216146945748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172.36034281262172</v>
      </c>
      <c r="N11" s="148">
        <f>IFERROR(SUMIFS('Employee Profile (2)'!E$4:E$50,'Employee Profile (2)'!$B$4:$B$50,Results!$D$3),"")</f>
        <v>7.3626801714063106E-2</v>
      </c>
      <c r="O11" s="150" t="s">
        <v>622</v>
      </c>
      <c r="P11" s="143">
        <f>IFERROR(INDEX('Employee Profile (2)'!$AC$4:$AC$50,MATCH(Results!$D$3,'Employee Profile (2)'!$B$4:$B$50,0))*$Q11,"")</f>
        <v>129.49824698091157</v>
      </c>
      <c r="Q11" s="148">
        <f>IFERROR(SUMIFS('Employee Profile (2)'!L$4:L$50,'Employee Profile (2)'!$B$4:$B$50,Results!$D$3),"")</f>
        <v>5.5317491234904557E-2</v>
      </c>
      <c r="R11" s="150" t="s">
        <v>629</v>
      </c>
      <c r="S11" s="144">
        <f>IFERROR(INDEX('Employee Profile (2)'!$AC$4:$AC$50,MATCH(Results!$D$3,'Employee Profile (2)'!$B$4:$B$50,0))*$T11,"")</f>
        <v>300.94663030775223</v>
      </c>
      <c r="T11" s="147">
        <f>IFERROR(SUMIFS('Employee Profile (2)'!P$4:P$50,'Employee Profile (2)'!$B$4:$B$50,Results!$D$3),"")</f>
        <v>0.12855473315153876</v>
      </c>
      <c r="U11" s="150" t="s">
        <v>53</v>
      </c>
      <c r="V11" s="144">
        <f>IFERROR(INDEX('Employee Profile (2)'!$AC$4:$AC$50,MATCH(Results!$D$3,'Employee Profile (2)'!$B$4:$B$50,0))*$W11,"")</f>
        <v>362.95987534086481</v>
      </c>
      <c r="W11" s="147">
        <f>IFERROR(SUMIFS('Employee Profile (2)'!U$4:U$50,'Employee Profile (2)'!$B$4:$B$50,Results!$D$3),"")</f>
        <v>0.15504479937670432</v>
      </c>
      <c r="X11" s="150" t="s">
        <v>637</v>
      </c>
      <c r="Y11" s="144">
        <f>IFERROR(INDEX('Employee Profile (2)'!$AC$4:$AC$50,MATCH(Results!$D$3,'Employee Profile (2)'!$B$4:$B$50,0))*$Z11,"")</f>
        <v>93.019867549668874</v>
      </c>
      <c r="Z11" s="147">
        <f>IFERROR(SUMIFS('Employee Profile (2)'!X$4:X$50,'Employee Profile (2)'!$B$4:$B$50,Results!$D$3),"")</f>
        <v>3.9735099337748346E-2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11</v>
      </c>
      <c r="I12" s="158">
        <v>42</v>
      </c>
      <c r="J12" s="158">
        <v>7</v>
      </c>
      <c r="L12" s="150" t="s">
        <v>659</v>
      </c>
      <c r="M12" s="143">
        <f>IFERROR(INDEX('Employee Profile (2)'!$AC$4:$AC$50,MATCH(Results!$D$3,'Employee Profile (2)'!$B$4:$B$50,0))*$N12,"")</f>
        <v>155.03311258278146</v>
      </c>
      <c r="N12" s="148">
        <f>IFERROR(SUMIFS('Employee Profile (2)'!F$4:F$50,'Employee Profile (2)'!$B$4:$B$50,Results!$D$3),"")</f>
        <v>6.6225165562913912E-2</v>
      </c>
      <c r="O12" s="150" t="s">
        <v>623</v>
      </c>
      <c r="P12" s="143">
        <f>IFERROR(INDEX('Employee Profile (2)'!$AC$4:$AC$50,MATCH(Results!$D$3,'Employee Profile (2)'!$B$4:$B$50,0))*$Q12,"")</f>
        <v>51.981690689520846</v>
      </c>
      <c r="Q12" s="148">
        <f>IFERROR(SUMIFS('Employee Profile (2)'!M$4:M$50,'Employee Profile (2)'!$B$4:$B$50,Results!$D$3),"")</f>
        <v>2.2204908453447605E-2</v>
      </c>
      <c r="R12" s="150" t="s">
        <v>630</v>
      </c>
      <c r="S12" s="144">
        <f>IFERROR(INDEX('Employee Profile (2)'!$AC$4:$AC$50,MATCH(Results!$D$3,'Employee Profile (2)'!$B$4:$B$50,0))*$T12,"")</f>
        <v>17.327230229840278</v>
      </c>
      <c r="T12" s="147">
        <f>IFERROR(SUMIFS('Employee Profile (2)'!Q$4:Q$50,'Employee Profile (2)'!$B$4:$B$50,Results!$D$3),"")</f>
        <v>7.4016361511492013E-3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475.13089209193612</v>
      </c>
      <c r="Z12" s="147">
        <f>IFERROR(SUMIFS('Employee Profile (2)'!Y$4:Y$50,'Employee Profile (2)'!$B$4:$B$50,Results!$D$3),"")</f>
        <v>0.20296065446045969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9</v>
      </c>
      <c r="H13" s="158">
        <v>0</v>
      </c>
      <c r="I13" s="158">
        <v>3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112.17101675107129</v>
      </c>
      <c r="N13" s="148">
        <f>IFERROR(SUMIFS('Employee Profile (2)'!G$4:G$50,'Employee Profile (2)'!$B$4:$B$50,Results!$D$3),"")</f>
        <v>4.7915855083755357E-2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800.70042851577716</v>
      </c>
      <c r="T13" s="147">
        <f>IFERROR(SUMIFS('Employee Profile (2)'!R$4:R$50,'Employee Profile (2)'!$B$4:$B$50,Results!$D$3),"")</f>
        <v>0.34203350214257888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362.95987534086481</v>
      </c>
      <c r="Z13" s="147">
        <f>IFERROR(SUMIFS('Employee Profile (2)'!Z$4:Z$50,'Employee Profile (2)'!$B$4:$B$50,Results!$D$3),"")</f>
        <v>0.15504479937670432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217.04635761589404</v>
      </c>
      <c r="N14" s="148">
        <f>IFERROR(SUMIFS('Employee Profile (2)'!H$4:H$50,'Employee Profile (2)'!$B$4:$B$50,Results!$D$3),"")</f>
        <v>9.2715231788079472E-2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9</v>
      </c>
      <c r="H15" s="112">
        <f t="shared" ref="H15:J15" si="0">SUM(H9:H14)</f>
        <v>11</v>
      </c>
      <c r="I15" s="112">
        <f t="shared" si="0"/>
        <v>57</v>
      </c>
      <c r="J15" s="112">
        <f t="shared" si="0"/>
        <v>7</v>
      </c>
      <c r="L15" s="150" t="s">
        <v>53</v>
      </c>
      <c r="M15" s="143">
        <f>IFERROR(INDEX('Employee Profile (2)'!$AC$4:$AC$50,MATCH(Results!$D$3,'Employee Profile (2)'!$B$4:$B$50,0))*$N15,"")</f>
        <v>361.13595636930273</v>
      </c>
      <c r="N15" s="148">
        <f>IFERROR(SUMIFS('Employee Profile (2)'!I$4:I$50,'Employee Profile (2)'!$B$4:$B$50,Results!$D$3),"")</f>
        <v>0.15426567978184652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9</v>
      </c>
      <c r="H16" s="82">
        <f>SUMIFS($W$64:$W$509,$C$64:$C$509,"Total")</f>
        <v>11</v>
      </c>
      <c r="I16" s="82">
        <f>SUMIFS($AE$64:$AE$509,$C$64:$C$509,"Total")</f>
        <v>57</v>
      </c>
      <c r="J16" s="82">
        <f>SUMIFS($AM$64:$AM$509,$C$64:$C$509,"Total")</f>
        <v>7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112</v>
      </c>
      <c r="G29" s="87">
        <f t="shared" ref="G29:G44" si="4">SUMIFS($K$64:$K$509,$A$64:$A$509,B29,$C$64:$C$509,"Total")</f>
        <v>470.02678571428572</v>
      </c>
      <c r="H29" s="83">
        <f t="shared" ref="H29:H44" si="5">SUMIFS($J$64:$J$509,$A$64:$A$509,B29,$C$64:$C$509,"Total")</f>
        <v>52643</v>
      </c>
      <c r="I29" s="21">
        <f t="shared" ref="I29:I44" si="6">-SUMIFS($O$64:$O$509,$A$64:$A$509,$B29,$C$64:$C$509,"Total")+SUMIFS($N$64:$N$509,$A$64:$A$509,$B29,$C$64:$C$509,"Total")</f>
        <v>39</v>
      </c>
      <c r="J29" s="88">
        <f t="shared" ref="J29:J44" si="7">SUMIFS($P$64:$P$509,$A$64:$A$509,$B29,$C$64:$C$509,"Total")</f>
        <v>151</v>
      </c>
      <c r="K29" s="88">
        <f t="shared" ref="K29:K44" si="8">SUMIFS($M$64:$M$509,$A$64:$A$509,$B29,$C$64:$C$509,"Total")</f>
        <v>480.43858014970442</v>
      </c>
      <c r="L29" s="88">
        <f t="shared" ref="L29:L44" si="9">SUMIFS($R$64:$R$509,$A$64:$A$509,$B29,$C$64:$C$509,"Total")+SUMIFS($Q$64:$Q$509,$A$64:$A$509,$B29,$C$64:$C$509,"Total")</f>
        <v>15969.643120626704</v>
      </c>
      <c r="M29" s="88">
        <f t="shared" ref="M29:M44" si="10">SUMIFS($S$64:$S$509,$A$64:$A$509,$B29,$C$64:$C$509,"Total")</f>
        <v>72546.225602605366</v>
      </c>
      <c r="N29" s="88">
        <f t="shared" ref="N29:N44" si="11">SUMIFS($S$64:$S$509,$A$64:$A$509,$B29,$C$64:$C$509,"Compensation Budget")</f>
        <v>97070</v>
      </c>
      <c r="O29" s="89">
        <f t="shared" ref="O29:O44" si="12">SUMIFS($S$64:$S$509,$A$64:$A$509,$B29,$C$64:$C$509,"Under/(Over)")</f>
        <v>24523.774397394634</v>
      </c>
      <c r="P29" s="21">
        <f t="shared" ref="P29:P44" si="13">-SUMIFS($W$64:$W$509,$A$64:$A$509,$B29,$C$64:$C$509,"Total")+SUMIFS($V$64:$V$509,$A$64:$A$509,$B29,$C$64:$C$509,"Total")</f>
        <v>19</v>
      </c>
      <c r="Q29" s="88">
        <f t="shared" ref="Q29:Q44" si="14">SUMIFS($X$64:$X$509,$A$64:$A$509,$B29,$C$64:$C$509,"Total")</f>
        <v>170</v>
      </c>
      <c r="R29" s="88">
        <f t="shared" ref="R29:R44" si="15">SUMIFS($U$64:$U$509,$A$64:$A$509,$B29,$C$64:$C$509,"Total")</f>
        <v>493.67463340627131</v>
      </c>
      <c r="S29" s="88">
        <f t="shared" ref="S29:S44" si="16">SUMIFS($Z$64:$Z$509,$A$64:$A$509,$B29,$C$64:$C$509,"Total")+SUMIFS($Y$64:$Y$509,$A$64:$A$509,$B29,$C$64:$C$509,"Total")</f>
        <v>5429.0675089742672</v>
      </c>
      <c r="T29" s="88">
        <f t="shared" ref="T29:T44" si="17">SUMIFS($AA$64:$AA$509,$A$64:$A$509,$B29,$C$64:$C$509,"Total")</f>
        <v>83924.687679066119</v>
      </c>
      <c r="U29" s="88">
        <f t="shared" ref="U29:U44" si="18">SUMIFS($AA$64:$AA$509,$A$64:$A$509,$B29,$C$64:$C$509,"Compensation Budget")</f>
        <v>111476</v>
      </c>
      <c r="V29" s="89">
        <f t="shared" ref="V29:V44" si="19">SUMIFS($AA$64:$AA$509,$A$64:$A$509,$B29,$C$64:$C$509,"Under/(Over)")</f>
        <v>27551.312320933881</v>
      </c>
      <c r="W29" s="21">
        <f t="shared" ref="W29:W44" si="20">-SUMIFS($AE$64:$AE$509,$A$64:$A$509,$B29,$C$64:$C$509,"Total")+SUMIFS($AD$64:$AD$509,$A$64:$A$509,$B29,$C$64:$C$509,"Total")</f>
        <v>-14</v>
      </c>
      <c r="X29" s="88">
        <f t="shared" ref="X29:X44" si="21">SUMIFS($AF$64:$AF$509,$A$64:$A$509,$B29,$C$64:$C$509,"Total")</f>
        <v>156</v>
      </c>
      <c r="Y29" s="88">
        <f t="shared" ref="Y29:Y44" si="22">SUMIFS($AC$64:$AC$509,$A$64:$A$509,$B29,$C$64:$C$509,"Total")</f>
        <v>545.64781611413616</v>
      </c>
      <c r="Z29" s="88">
        <f t="shared" ref="Z29:Z44" si="23">SUMIFS($AH$64:$AH$509,$A$64:$A$509,$B29,$C$64:$C$509,"Total")+SUMIFS($AG$64:$AG$509,$A$64:$A$509,$B29,$C$64:$C$509,"Total")</f>
        <v>-5621.2117324071114</v>
      </c>
      <c r="AA29" s="88">
        <f t="shared" ref="AA29:AA44" si="24">SUMIFS($AI$64:$AI$509,$A$64:$A$509,$B29,$C$64:$C$509,"Total")</f>
        <v>85121.059313805235</v>
      </c>
      <c r="AB29" s="88">
        <f t="shared" ref="AB29:AB44" si="25">SUMIFS($AI$64:$AI$509,$A$64:$A$509,$B29,$C$64:$C$509,"Compensation Budget")</f>
        <v>118163</v>
      </c>
      <c r="AC29" s="89">
        <f t="shared" ref="AC29:AC44" si="26">SUMIFS($AI$64:$AI$509,$A$64:$A$509,$B29,$C$64:$C$509,"Under/(Over)")</f>
        <v>33041.940686194765</v>
      </c>
      <c r="AD29" s="21">
        <f t="shared" ref="AD29:AD44" si="27">-SUMIFS($AM$64:$AM$509,$A$64:$A$509,$B29,$C$64:$C$509,"Total")+SUMIFS($AL$64:$AL$509,$A$64:$A$509,$B29,$C$64:$C$509,"Total")</f>
        <v>-6</v>
      </c>
      <c r="AE29" s="88">
        <f t="shared" ref="AE29:AE44" si="28">SUMIFS($AN$64:$AN$509,$A$64:$A$509,$B29,$C$64:$C$509,"Total")</f>
        <v>150</v>
      </c>
      <c r="AF29" s="88">
        <f t="shared" ref="AF29:AF44" si="29">SUMIFS($AK$64:$AK$509,$A$64:$A$509,$B29,$C$64:$C$509,"Total")</f>
        <v>594.63038557740322</v>
      </c>
      <c r="AG29" s="88">
        <f t="shared" ref="AG29:AG44" si="30">SUMIFS($AP$64:$AP$509,$A$64:$A$509,$B29,$C$64:$C$509,"Total")+SUMIFS($AO$64:$AO$509,$A$64:$A$509,$B29,$C$64:$C$509,"Total")</f>
        <v>-2652.6346156774548</v>
      </c>
      <c r="AH29" s="88">
        <f t="shared" ref="AH29:AH44" si="31">SUMIFS($AQ$64:$AQ$509,$A$64:$A$509,$B29,$C$64:$C$509,"Total")</f>
        <v>89194.557836610475</v>
      </c>
      <c r="AI29" s="88">
        <f t="shared" ref="AI29:AI44" si="32">SUMIFS($AQ$64:$AQ$509,$A$64:$A$509,$B29,$C$64:$C$509,"Compensation Budget")</f>
        <v>127143.38800000001</v>
      </c>
      <c r="AJ29" s="89">
        <f t="shared" ref="AJ29:AJ44" si="33">SUMIFS($AQ$64:$AQ$509,$A$64:$A$509,$B29,$C$64:$C$509,"Under/(Over)")</f>
        <v>37948.830163389532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Superior Court Services</v>
      </c>
      <c r="D30" s="222">
        <f t="shared" si="2"/>
        <v>0</v>
      </c>
      <c r="E30" s="223">
        <f t="shared" si="2"/>
        <v>0</v>
      </c>
      <c r="F30" s="80">
        <f t="shared" si="3"/>
        <v>1561</v>
      </c>
      <c r="G30" s="155">
        <f t="shared" si="4"/>
        <v>241.15317937219731</v>
      </c>
      <c r="H30" s="155">
        <f t="shared" si="5"/>
        <v>376440.11300000001</v>
      </c>
      <c r="I30" s="23">
        <f t="shared" si="6"/>
        <v>106</v>
      </c>
      <c r="J30" s="22">
        <f t="shared" si="7"/>
        <v>1667</v>
      </c>
      <c r="K30" s="22">
        <f t="shared" si="8"/>
        <v>270.32771858428407</v>
      </c>
      <c r="L30" s="22">
        <f t="shared" si="9"/>
        <v>41387.388941308156</v>
      </c>
      <c r="M30" s="22">
        <f t="shared" si="10"/>
        <v>450636.30688000156</v>
      </c>
      <c r="N30" s="22">
        <f t="shared" si="11"/>
        <v>434270</v>
      </c>
      <c r="O30" s="91">
        <f t="shared" si="12"/>
        <v>-16366.306880001561</v>
      </c>
      <c r="P30" s="23">
        <f t="shared" si="13"/>
        <v>38</v>
      </c>
      <c r="Q30" s="22">
        <f t="shared" si="14"/>
        <v>1705</v>
      </c>
      <c r="R30" s="22">
        <f t="shared" si="15"/>
        <v>295.37475375290222</v>
      </c>
      <c r="S30" s="22">
        <f t="shared" si="16"/>
        <v>14792.76287969706</v>
      </c>
      <c r="T30" s="22">
        <f t="shared" si="17"/>
        <v>503613.9551486983</v>
      </c>
      <c r="U30" s="22">
        <f t="shared" si="18"/>
        <v>486410</v>
      </c>
      <c r="V30" s="91">
        <f t="shared" si="19"/>
        <v>-17203.955148698296</v>
      </c>
      <c r="W30" s="23">
        <f t="shared" si="20"/>
        <v>-32</v>
      </c>
      <c r="X30" s="22">
        <f t="shared" si="21"/>
        <v>1673</v>
      </c>
      <c r="Y30" s="22">
        <f t="shared" si="22"/>
        <v>319.40169716064543</v>
      </c>
      <c r="Z30" s="22">
        <f t="shared" si="23"/>
        <v>-11417.693244786986</v>
      </c>
      <c r="AA30" s="22">
        <f t="shared" si="24"/>
        <v>534359.03934975981</v>
      </c>
      <c r="AB30" s="22">
        <f t="shared" si="25"/>
        <v>510997</v>
      </c>
      <c r="AC30" s="91">
        <f t="shared" si="26"/>
        <v>-23362.039349759812</v>
      </c>
      <c r="AD30" s="23">
        <f t="shared" si="27"/>
        <v>0</v>
      </c>
      <c r="AE30" s="22">
        <f t="shared" si="28"/>
        <v>1673</v>
      </c>
      <c r="AF30" s="22">
        <f t="shared" si="29"/>
        <v>345.49829227712274</v>
      </c>
      <c r="AG30" s="22">
        <f t="shared" si="30"/>
        <v>0</v>
      </c>
      <c r="AH30" s="22">
        <f t="shared" si="31"/>
        <v>578018.64297962631</v>
      </c>
      <c r="AI30" s="22">
        <f t="shared" si="32"/>
        <v>549832.772</v>
      </c>
      <c r="AJ30" s="91">
        <f t="shared" si="33"/>
        <v>-28185.870979626314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Judicial Education and Support</v>
      </c>
      <c r="D31" s="222">
        <f t="shared" si="2"/>
        <v>0</v>
      </c>
      <c r="E31" s="223">
        <f t="shared" si="2"/>
        <v>0</v>
      </c>
      <c r="F31" s="80">
        <f t="shared" si="3"/>
        <v>21</v>
      </c>
      <c r="G31" s="155">
        <f t="shared" si="4"/>
        <v>555</v>
      </c>
      <c r="H31" s="155">
        <f t="shared" si="5"/>
        <v>11655</v>
      </c>
      <c r="I31" s="23">
        <f t="shared" si="6"/>
        <v>19</v>
      </c>
      <c r="J31" s="22">
        <f t="shared" si="7"/>
        <v>40</v>
      </c>
      <c r="K31" s="22">
        <f t="shared" si="8"/>
        <v>553.46903713592542</v>
      </c>
      <c r="L31" s="22">
        <f t="shared" si="9"/>
        <v>9713.3570986944997</v>
      </c>
      <c r="M31" s="22">
        <f t="shared" si="10"/>
        <v>22138.761485437019</v>
      </c>
      <c r="N31" s="22">
        <f t="shared" si="11"/>
        <v>15521</v>
      </c>
      <c r="O31" s="91">
        <f t="shared" si="12"/>
        <v>-6617.7614854370186</v>
      </c>
      <c r="P31" s="23">
        <f t="shared" si="13"/>
        <v>9</v>
      </c>
      <c r="Q31" s="22">
        <f t="shared" si="14"/>
        <v>49</v>
      </c>
      <c r="R31" s="22">
        <f t="shared" si="15"/>
        <v>518.75662403001991</v>
      </c>
      <c r="S31" s="22">
        <f t="shared" si="16"/>
        <v>1497.8215547256636</v>
      </c>
      <c r="T31" s="22">
        <f t="shared" si="17"/>
        <v>25419.074577470976</v>
      </c>
      <c r="U31" s="22">
        <f t="shared" si="18"/>
        <v>17913</v>
      </c>
      <c r="V31" s="91">
        <f t="shared" si="19"/>
        <v>-7506.0745774709758</v>
      </c>
      <c r="W31" s="23">
        <f t="shared" si="20"/>
        <v>-10</v>
      </c>
      <c r="X31" s="22">
        <f t="shared" si="21"/>
        <v>39</v>
      </c>
      <c r="Y31" s="22">
        <f t="shared" si="22"/>
        <v>657.78842410662151</v>
      </c>
      <c r="Z31" s="22">
        <f t="shared" si="23"/>
        <v>-1786.1232430969135</v>
      </c>
      <c r="AA31" s="22">
        <f t="shared" si="24"/>
        <v>25653.748540158238</v>
      </c>
      <c r="AB31" s="22">
        <f t="shared" si="25"/>
        <v>18987</v>
      </c>
      <c r="AC31" s="91">
        <f t="shared" si="26"/>
        <v>-6666.748540158238</v>
      </c>
      <c r="AD31" s="23">
        <f t="shared" si="27"/>
        <v>0</v>
      </c>
      <c r="AE31" s="22">
        <f t="shared" si="28"/>
        <v>39</v>
      </c>
      <c r="AF31" s="22">
        <f t="shared" si="29"/>
        <v>708.75923212170767</v>
      </c>
      <c r="AG31" s="22">
        <f t="shared" si="30"/>
        <v>0</v>
      </c>
      <c r="AH31" s="22">
        <f t="shared" si="31"/>
        <v>27641.610052746597</v>
      </c>
      <c r="AI31" s="22">
        <f t="shared" si="32"/>
        <v>20430.012000000002</v>
      </c>
      <c r="AJ31" s="91">
        <f t="shared" si="33"/>
        <v>-7211.5980527465945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885</v>
      </c>
      <c r="G32" s="155">
        <f t="shared" si="4"/>
        <v>845.67231638418082</v>
      </c>
      <c r="H32" s="155">
        <f t="shared" si="5"/>
        <v>748420</v>
      </c>
      <c r="I32" s="23">
        <f t="shared" si="6"/>
        <v>74</v>
      </c>
      <c r="J32" s="22">
        <f t="shared" si="7"/>
        <v>959</v>
      </c>
      <c r="K32" s="22">
        <f t="shared" si="8"/>
        <v>873.57950282485876</v>
      </c>
      <c r="L32" s="22">
        <f t="shared" si="9"/>
        <v>64644.883209039552</v>
      </c>
      <c r="M32" s="22">
        <f t="shared" si="10"/>
        <v>837762.74320903956</v>
      </c>
      <c r="N32" s="22">
        <f t="shared" si="11"/>
        <v>0</v>
      </c>
      <c r="O32" s="91">
        <f t="shared" si="12"/>
        <v>-837762.74320903956</v>
      </c>
      <c r="P32" s="23">
        <f t="shared" si="13"/>
        <v>-11</v>
      </c>
      <c r="Q32" s="22">
        <f t="shared" si="14"/>
        <v>948</v>
      </c>
      <c r="R32" s="22">
        <f t="shared" si="15"/>
        <v>925.99427299435035</v>
      </c>
      <c r="S32" s="22">
        <f t="shared" si="16"/>
        <v>-10185.937002937853</v>
      </c>
      <c r="T32" s="22">
        <f t="shared" si="17"/>
        <v>877842.5707986441</v>
      </c>
      <c r="U32" s="22">
        <f t="shared" si="18"/>
        <v>0</v>
      </c>
      <c r="V32" s="91">
        <f t="shared" si="19"/>
        <v>-877842.5707986441</v>
      </c>
      <c r="W32" s="23">
        <f t="shared" si="20"/>
        <v>-1</v>
      </c>
      <c r="X32" s="22">
        <f t="shared" si="21"/>
        <v>947</v>
      </c>
      <c r="Y32" s="22">
        <f t="shared" si="22"/>
        <v>980.62793510101699</v>
      </c>
      <c r="Z32" s="22">
        <f t="shared" si="23"/>
        <v>-980.62793510101699</v>
      </c>
      <c r="AA32" s="22">
        <f t="shared" si="24"/>
        <v>928654.65454066312</v>
      </c>
      <c r="AB32" s="22">
        <f t="shared" si="25"/>
        <v>0</v>
      </c>
      <c r="AC32" s="91">
        <f t="shared" si="26"/>
        <v>-928654.65454066312</v>
      </c>
      <c r="AD32" s="23">
        <f t="shared" si="27"/>
        <v>18</v>
      </c>
      <c r="AE32" s="22">
        <f t="shared" si="28"/>
        <v>965</v>
      </c>
      <c r="AF32" s="22">
        <f t="shared" si="29"/>
        <v>1036.523727401775</v>
      </c>
      <c r="AG32" s="22">
        <f t="shared" si="30"/>
        <v>18657.427093231949</v>
      </c>
      <c r="AH32" s="22">
        <f t="shared" si="31"/>
        <v>1000245.3969427128</v>
      </c>
      <c r="AI32" s="22">
        <f t="shared" si="32"/>
        <v>0</v>
      </c>
      <c r="AJ32" s="91">
        <f t="shared" si="33"/>
        <v>-1000245.3969427128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864991</v>
      </c>
      <c r="O33" s="91">
        <f t="shared" si="12"/>
        <v>864991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908241</v>
      </c>
      <c r="V33" s="91">
        <f t="shared" si="19"/>
        <v>908241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960918</v>
      </c>
      <c r="AC33" s="91">
        <f t="shared" si="26"/>
        <v>960918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1033947.768</v>
      </c>
      <c r="AJ33" s="91">
        <f t="shared" si="33"/>
        <v>1033947.768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>Direct charge against the National Revenue Fund</v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2579</v>
      </c>
      <c r="G45" s="92">
        <f>IFERROR(H45/F45,0)</f>
        <v>461.09271539356337</v>
      </c>
      <c r="H45" s="92">
        <f>SUM(H29:H38)</f>
        <v>1189158.1129999999</v>
      </c>
      <c r="I45" s="25">
        <f>SUM(I29:I38)</f>
        <v>238</v>
      </c>
      <c r="J45" s="92">
        <f>SUM(J29:J38)</f>
        <v>2817</v>
      </c>
      <c r="K45" s="92">
        <f>IFERROR(M45/J45,0)</f>
        <v>490.97764898015038</v>
      </c>
      <c r="L45" s="92">
        <f t="shared" ref="L45:Q45" si="34">SUM(L29:L38)</f>
        <v>131715.27236966891</v>
      </c>
      <c r="M45" s="92">
        <f t="shared" si="34"/>
        <v>1383084.0371770835</v>
      </c>
      <c r="N45" s="92">
        <f>INDEX('ENE17'!$C$2:$C$48,MATCH(Results!$D$3,'ENE17'!$A$2:$A$48,0))</f>
        <v>1420252</v>
      </c>
      <c r="O45" s="129">
        <f>N45-M45</f>
        <v>37167.962822916452</v>
      </c>
      <c r="P45" s="25">
        <f t="shared" si="34"/>
        <v>55</v>
      </c>
      <c r="Q45" s="24">
        <f t="shared" si="34"/>
        <v>2872</v>
      </c>
      <c r="R45" s="92">
        <f>IFERROR(T45/Q45,0)</f>
        <v>519.08088029382986</v>
      </c>
      <c r="S45" s="24">
        <f>SUM(S29:S38)</f>
        <v>11533.714940459135</v>
      </c>
      <c r="T45" s="24">
        <f>SUM(T29:T38)</f>
        <v>1490800.2882038795</v>
      </c>
      <c r="U45" s="207">
        <f>INDEX('ENE17'!$D$2:$D$48,MATCH(Results!$D$3,'ENE17'!$A$2:$A$48,0))</f>
        <v>1533598</v>
      </c>
      <c r="V45" s="24">
        <f>U45-T45</f>
        <v>42797.711796120508</v>
      </c>
      <c r="W45" s="25">
        <f t="shared" ref="W45:X45" si="35">SUM(W29:W38)</f>
        <v>-57</v>
      </c>
      <c r="X45" s="24">
        <f t="shared" si="35"/>
        <v>2815</v>
      </c>
      <c r="Y45" s="92">
        <f>IFERROR(AA45/X45,0)</f>
        <v>559.07229191630063</v>
      </c>
      <c r="Z45" s="24">
        <f t="shared" ref="Z45:AA45" si="36">SUM(Z29:Z38)</f>
        <v>-19805.656155392029</v>
      </c>
      <c r="AA45" s="24">
        <f t="shared" si="36"/>
        <v>1573788.5017443863</v>
      </c>
      <c r="AB45" s="207">
        <f>INDEX('ENE17'!$E$2:$E$48,MATCH(Results!$D$3,'ENE17'!$A$2:$A$48,0))</f>
        <v>1619187</v>
      </c>
      <c r="AC45" s="24">
        <f>AB45-AA45</f>
        <v>45398.498255613726</v>
      </c>
      <c r="AD45" s="25">
        <f t="shared" ref="AD45:AE45" si="37">SUM(AD29:AD38)</f>
        <v>12</v>
      </c>
      <c r="AE45" s="24">
        <f t="shared" si="37"/>
        <v>2827</v>
      </c>
      <c r="AF45" s="92">
        <f>IFERROR(AH45/AE45,0)</f>
        <v>599.61096845125439</v>
      </c>
      <c r="AG45" s="24">
        <f t="shared" ref="AG45:AH45" si="38">SUM(AG29:AG38)</f>
        <v>16004.792477554494</v>
      </c>
      <c r="AH45" s="24">
        <f t="shared" si="38"/>
        <v>1695100.2078116962</v>
      </c>
      <c r="AI45" s="207">
        <f>INDEX('ENE17'!$F$2:$F$48,MATCH(Results!$D$3,'ENE17'!$A$2:$A$48,0))</f>
        <v>1742043</v>
      </c>
      <c r="AJ45" s="24">
        <f>AI45-AH45</f>
        <v>46942.792188303778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980</v>
      </c>
      <c r="G51" s="193">
        <f>IFERROR(H51/F51,"")</f>
        <v>177.38265306122449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173835</v>
      </c>
      <c r="I51" s="97">
        <f>SUMIFS($N$64:$N$509,$B$64:$B$509,$B51)-SUMIFS($O$64:$O$509,$B$64:$B$509,$B51)</f>
        <v>29</v>
      </c>
      <c r="J51" s="80">
        <f>SUMIFS($P$64:$P$509,$B$64:$B$509,$B51)</f>
        <v>1009</v>
      </c>
      <c r="K51" s="80">
        <f>IFERROR(M51/J51,0)</f>
        <v>192.49875279225571</v>
      </c>
      <c r="L51" s="80">
        <f>SUMIFS($R$64:$R$509,$B$64:$B$509,$B51)+SUMIFS($Q$64:$Q$509,$B$64:$B$509,$B51)</f>
        <v>5301.1445408983554</v>
      </c>
      <c r="M51" s="98">
        <f>SUMIFS($S$64:$S$509,$B$64:$B$509,$B51)</f>
        <v>194231.24156738602</v>
      </c>
      <c r="N51" s="80">
        <f>SUMIFS($V$64:$V$509,$B$64:$B$509,$B51)-SUMIFS($W$64:$W$509,$B$64:$B$509,$B51)</f>
        <v>22</v>
      </c>
      <c r="O51" s="80">
        <f>SUMIFS($X$64:$X$509,$B$64:$B$509,$B51)</f>
        <v>1031</v>
      </c>
      <c r="P51" s="80">
        <f>IFERROR(R51/O51,0)</f>
        <v>207.77173185852206</v>
      </c>
      <c r="Q51" s="80">
        <f>SUMIFS($Z$64:$Z$509,$B$64:$B$509,$B51)+SUMIFS($Y$64:$Y$509,$B$64:$B$509,$B51)</f>
        <v>3572.849610412768</v>
      </c>
      <c r="R51" s="80">
        <f>SUMIFS($AA$64:$AA$509,$B$64:$B$509,$B51)</f>
        <v>214212.65554613623</v>
      </c>
      <c r="S51" s="97">
        <f>SUMIFS($AD$64:$AD$509,$B$64:$B$509,$B51)-SUMIFS($AE$64:$AE$509,$B$64:$B$509,$B51)</f>
        <v>-22</v>
      </c>
      <c r="T51" s="80">
        <f>SUMIFS($AF$64:$AF$509,$B$64:$B$509,$B51)</f>
        <v>1009</v>
      </c>
      <c r="U51" s="80">
        <f>IFERROR(W51/T51,0)</f>
        <v>226.38012640314989</v>
      </c>
      <c r="V51" s="80">
        <f>SUMIFS($AH$64:$AH$509,$B$64:$B$509,$B51)+SUMIFS($AG$64:$AG$509,$B$64:$B$509,$B51)</f>
        <v>-3668.8170344420205</v>
      </c>
      <c r="W51" s="98">
        <f>SUMIFS($AI$64:$AI$509,$B$64:$B$509,$B51)</f>
        <v>228417.54754077824</v>
      </c>
      <c r="X51" s="80">
        <f>SUMIFS($AL$64:$AL$509,$B$64:$B$509,$B51)-SUMIFS($AM$64:$AM$509,$B$64:$B$509,$B51)</f>
        <v>-3</v>
      </c>
      <c r="Y51" s="80">
        <f>SUMIFS($AN$64:$AN$509,$B$64:$B$509,$B51)</f>
        <v>1006</v>
      </c>
      <c r="Z51" s="80">
        <f>IFERROR(AB51/Y51,0)</f>
        <v>244.53713884513627</v>
      </c>
      <c r="AA51" s="80">
        <f>SUMIFS($AP$64:$AP$509,$B$64:$B$509,$B51)+SUMIFS($AO$64:$AO$509,$B$64:$B$509,$B51)</f>
        <v>-1015.5249952194301</v>
      </c>
      <c r="AB51" s="98">
        <f>SUMIFS($AQ$64:$AQ$509,$B$64:$B$509,$B51)</f>
        <v>246004.36167820709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609</v>
      </c>
      <c r="G52" s="192">
        <f t="shared" ref="G52:G55" si="40">IFERROR(H52/F52,"")</f>
        <v>308.1231527093596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187647</v>
      </c>
      <c r="I52" s="97">
        <f>SUMIFS($N$64:$N$509,$B$64:$B$509,$B52)-SUMIFS($O$64:$O$509,$B$64:$B$509,$B52)</f>
        <v>106</v>
      </c>
      <c r="J52" s="80">
        <f>SUMIFS($P$64:$P$509,$B$64:$B$509,$B52)</f>
        <v>715</v>
      </c>
      <c r="K52" s="80">
        <f t="shared" ref="K52:K56" si="41">IFERROR(M52/J52,0)</f>
        <v>337.49112247298183</v>
      </c>
      <c r="L52" s="80">
        <f>SUMIFS($R$64:$R$509,$B$64:$B$509,$B52)+SUMIFS($Q$64:$Q$509,$B$64:$B$509,$B52)</f>
        <v>36802.671387700684</v>
      </c>
      <c r="M52" s="98">
        <f>SUMIFS($S$64:$S$509,$B$64:$B$509,$B52)</f>
        <v>241306.15256818201</v>
      </c>
      <c r="N52" s="80">
        <f>SUMIFS($V$64:$V$509,$B$64:$B$509,$B52)-SUMIFS($W$64:$W$509,$B$64:$B$509,$B52)</f>
        <v>39</v>
      </c>
      <c r="O52" s="80">
        <f>SUMIFS($X$64:$X$509,$B$64:$B$509,$B52)</f>
        <v>754</v>
      </c>
      <c r="P52" s="80">
        <f t="shared" ref="P52:P55" si="42">IFERROR(R52/O52,0)</f>
        <v>366.14711309893585</v>
      </c>
      <c r="Q52" s="80">
        <f>SUMIFS($Z$64:$Z$509,$B$64:$B$509,$B52)+SUMIFS($Y$64:$Y$509,$B$64:$B$509,$B52)</f>
        <v>14166.348844646358</v>
      </c>
      <c r="R52" s="80">
        <f>SUMIFS($AA$64:$AA$509,$B$64:$B$509,$B52)</f>
        <v>276074.92327659763</v>
      </c>
      <c r="S52" s="97">
        <f>SUMIFS($AD$64:$AD$509,$B$64:$B$509,$B52)-SUMIFS($AE$64:$AE$509,$B$64:$B$509,$B52)</f>
        <v>-31</v>
      </c>
      <c r="T52" s="80">
        <f>SUMIFS($AF$64:$AF$509,$B$64:$B$509,$B52)</f>
        <v>723</v>
      </c>
      <c r="U52" s="80">
        <f t="shared" ref="U52:U55" si="43">IFERROR(W52/T52,0)</f>
        <v>396.87800177640122</v>
      </c>
      <c r="V52" s="80">
        <f>SUMIFS($AH$64:$AH$509,$B$64:$B$509,$B52)+SUMIFS($AG$64:$AG$509,$B$64:$B$509,$B52)</f>
        <v>-12423.536423402302</v>
      </c>
      <c r="W52" s="98">
        <f>SUMIFS($AI$64:$AI$509,$B$64:$B$509,$B52)</f>
        <v>286942.79528433806</v>
      </c>
      <c r="X52" s="80">
        <f>SUMIFS($AL$64:$AL$509,$B$64:$B$509,$B52)-SUMIFS($AM$64:$AM$509,$B$64:$B$509,$B52)</f>
        <v>-2</v>
      </c>
      <c r="Y52" s="80">
        <f>SUMIFS($AN$64:$AN$509,$B$64:$B$509,$B52)</f>
        <v>721</v>
      </c>
      <c r="Z52" s="80">
        <f t="shared" ref="Z52:Z55" si="44">IFERROR(AB52/Y52,0)</f>
        <v>429.65729930774842</v>
      </c>
      <c r="AA52" s="80">
        <f>SUMIFS($AP$64:$AP$509,$B$64:$B$509,$B52)+SUMIFS($AO$64:$AO$509,$B$64:$B$509,$B52)</f>
        <v>-785.72631970689918</v>
      </c>
      <c r="AB52" s="98">
        <f>SUMIFS($AQ$64:$AQ$509,$B$64:$B$509,$B52)</f>
        <v>309782.91280088661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64</v>
      </c>
      <c r="G53" s="192">
        <f t="shared" si="40"/>
        <v>628.734375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40239</v>
      </c>
      <c r="I53" s="97">
        <f>SUMIFS($N$64:$N$509,$B$64:$B$509,$B53)-SUMIFS($O$64:$O$509,$B$64:$B$509,$B53)</f>
        <v>22</v>
      </c>
      <c r="J53" s="80">
        <f>SUMIFS($P$64:$P$509,$B$64:$B$509,$B53)</f>
        <v>86</v>
      </c>
      <c r="K53" s="80">
        <f t="shared" si="41"/>
        <v>716.29617055921949</v>
      </c>
      <c r="L53" s="80">
        <f>SUMIFS($R$64:$R$509,$B$64:$B$509,$B53)+SUMIFS($Q$64:$Q$509,$B$64:$B$509,$B53)</f>
        <v>17674.107565195613</v>
      </c>
      <c r="M53" s="98">
        <f>SUMIFS($S$64:$S$509,$B$64:$B$509,$B53)</f>
        <v>61601.470668092872</v>
      </c>
      <c r="N53" s="80">
        <f>SUMIFS($V$64:$V$509,$B$64:$B$509,$B53)-SUMIFS($W$64:$W$509,$B$64:$B$509,$B53)</f>
        <v>4</v>
      </c>
      <c r="O53" s="80">
        <f>SUMIFS($X$64:$X$509,$B$64:$B$509,$B53)</f>
        <v>90</v>
      </c>
      <c r="P53" s="80">
        <f t="shared" si="42"/>
        <v>775.26865693259867</v>
      </c>
      <c r="Q53" s="80">
        <f>SUMIFS($Z$64:$Z$509,$B$64:$B$509,$B53)+SUMIFS($Y$64:$Y$509,$B$64:$B$509,$B53)</f>
        <v>2901.0996974756918</v>
      </c>
      <c r="R53" s="80">
        <f>SUMIFS($AA$64:$AA$509,$B$64:$B$509,$B53)</f>
        <v>69774.179123933878</v>
      </c>
      <c r="S53" s="97">
        <f>SUMIFS($AD$64:$AD$509,$B$64:$B$509,$B53)-SUMIFS($AE$64:$AE$509,$B$64:$B$509,$B53)</f>
        <v>-2</v>
      </c>
      <c r="T53" s="80">
        <f>SUMIFS($AF$64:$AF$509,$B$64:$B$509,$B53)</f>
        <v>88</v>
      </c>
      <c r="U53" s="80">
        <f t="shared" si="43"/>
        <v>842.0588748673697</v>
      </c>
      <c r="V53" s="80">
        <f>SUMIFS($AH$64:$AH$509,$B$64:$B$509,$B53)+SUMIFS($AG$64:$AG$509,$B$64:$B$509,$B53)</f>
        <v>-1573.2145666138879</v>
      </c>
      <c r="W53" s="98">
        <f>SUMIFS($AI$64:$AI$509,$B$64:$B$509,$B53)</f>
        <v>74101.180988328531</v>
      </c>
      <c r="X53" s="80">
        <f>SUMIFS($AL$64:$AL$509,$B$64:$B$509,$B53)-SUMIFS($AM$64:$AM$509,$B$64:$B$509,$B53)</f>
        <v>-1</v>
      </c>
      <c r="Y53" s="80">
        <f>SUMIFS($AN$64:$AN$509,$B$64:$B$509,$B53)</f>
        <v>87</v>
      </c>
      <c r="Z53" s="80">
        <f t="shared" si="44"/>
        <v>912.24770064377299</v>
      </c>
      <c r="AA53" s="80">
        <f>SUMIFS($AP$64:$AP$509,$B$64:$B$509,$B53)+SUMIFS($AO$64:$AO$509,$B$64:$B$509,$B53)</f>
        <v>-851.38330075112503</v>
      </c>
      <c r="AB53" s="98">
        <f>SUMIFS($AQ$64:$AQ$509,$B$64:$B$509,$B53)</f>
        <v>79365.549956008254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41</v>
      </c>
      <c r="G54" s="192">
        <f t="shared" si="40"/>
        <v>951.63690243902431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39017.112999999998</v>
      </c>
      <c r="I54" s="97">
        <f>SUMIFS($N$64:$N$509,$B$64:$B$509,$B54)-SUMIFS($O$64:$O$509,$B$64:$B$509,$B54)</f>
        <v>7</v>
      </c>
      <c r="J54" s="80">
        <f>SUMIFS($P$64:$P$509,$B$64:$B$509,$B54)</f>
        <v>48</v>
      </c>
      <c r="K54" s="80">
        <f t="shared" si="41"/>
        <v>1003.8006075913122</v>
      </c>
      <c r="L54" s="80">
        <f>SUMIFS($R$64:$R$509,$B$64:$B$509,$B54)+SUMIFS($Q$64:$Q$509,$B$64:$B$509,$B54)</f>
        <v>7292.4656668347016</v>
      </c>
      <c r="M54" s="98">
        <f>SUMIFS($S$64:$S$509,$B$64:$B$509,$B54)</f>
        <v>48182.429164382986</v>
      </c>
      <c r="N54" s="80">
        <f>SUMIFS($V$64:$V$509,$B$64:$B$509,$B54)-SUMIFS($W$64:$W$509,$B$64:$B$509,$B54)</f>
        <v>1</v>
      </c>
      <c r="O54" s="80">
        <f>SUMIFS($X$64:$X$509,$B$64:$B$509,$B54)</f>
        <v>49</v>
      </c>
      <c r="P54" s="80">
        <f t="shared" si="42"/>
        <v>1079.5093767054602</v>
      </c>
      <c r="Q54" s="80">
        <f>SUMIFS($Z$64:$Z$509,$B$64:$B$509,$B54)+SUMIFS($Y$64:$Y$509,$B$64:$B$509,$B54)</f>
        <v>1079.3537908621693</v>
      </c>
      <c r="R54" s="80">
        <f>SUMIFS($AA$64:$AA$509,$B$64:$B$509,$B54)</f>
        <v>52895.959458567551</v>
      </c>
      <c r="S54" s="97">
        <f>SUMIFS($AD$64:$AD$509,$B$64:$B$509,$B54)-SUMIFS($AE$64:$AE$509,$B$64:$B$509,$B54)</f>
        <v>-1</v>
      </c>
      <c r="T54" s="80">
        <f>SUMIFS($AF$64:$AF$509,$B$64:$B$509,$B54)</f>
        <v>48</v>
      </c>
      <c r="U54" s="80">
        <f t="shared" si="43"/>
        <v>1159.8400706308025</v>
      </c>
      <c r="V54" s="80">
        <f>SUMIFS($AH$64:$AH$509,$B$64:$B$509,$B54)+SUMIFS($AG$64:$AG$509,$B$64:$B$509,$B54)</f>
        <v>-1159.4601958328028</v>
      </c>
      <c r="W54" s="98">
        <f>SUMIFS($AI$64:$AI$509,$B$64:$B$509,$B54)</f>
        <v>55672.323390278521</v>
      </c>
      <c r="X54" s="80">
        <f>SUMIFS($AL$64:$AL$509,$B$64:$B$509,$B54)-SUMIFS($AM$64:$AM$509,$B$64:$B$509,$B54)</f>
        <v>0</v>
      </c>
      <c r="Y54" s="80">
        <f>SUMIFS($AN$64:$AN$509,$B$64:$B$509,$B54)</f>
        <v>48</v>
      </c>
      <c r="Z54" s="80">
        <f t="shared" si="44"/>
        <v>1243.7913840391955</v>
      </c>
      <c r="AA54" s="80">
        <f>SUMIFS($AP$64:$AP$509,$B$64:$B$509,$B54)+SUMIFS($AO$64:$AO$509,$B$64:$B$509,$B54)</f>
        <v>0</v>
      </c>
      <c r="AB54" s="98">
        <f>SUMIFS($AQ$64:$AQ$509,$B$64:$B$509,$B54)</f>
        <v>59701.986433881386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885</v>
      </c>
      <c r="G55" s="192">
        <f t="shared" si="40"/>
        <v>845.67231638418082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748420</v>
      </c>
      <c r="I55" s="101">
        <f>SUMIFS($N$64:$N$509,$B$64:$B$509,$B55)-SUMIFS($O$64:$O$509,$B$64:$B$509,$B55)</f>
        <v>74</v>
      </c>
      <c r="J55" s="102">
        <f>SUMIFS($P$64:$P$509,$B$64:$B$509,$B55)</f>
        <v>959</v>
      </c>
      <c r="K55" s="102">
        <f t="shared" si="41"/>
        <v>873.57950282485876</v>
      </c>
      <c r="L55" s="102">
        <f>SUMIFS($R$64:$R$509,$B$64:$B$509,$B55)+SUMIFS($Q$64:$Q$509,$B$64:$B$509,$B55)</f>
        <v>64644.883209039552</v>
      </c>
      <c r="M55" s="103">
        <f>SUMIFS($S$64:$S$509,$B$64:$B$509,$B55)</f>
        <v>837762.74320903956</v>
      </c>
      <c r="N55" s="80">
        <f>SUMIFS($V$64:$V$509,$B$64:$B$509,$B55)-SUMIFS($W$64:$W$509,$B$64:$B$509,$B55)</f>
        <v>-11</v>
      </c>
      <c r="O55" s="80">
        <f>SUMIFS($X$64:$X$509,$B$64:$B$509,$B55)</f>
        <v>948</v>
      </c>
      <c r="P55" s="80">
        <f t="shared" si="42"/>
        <v>925.99427299435035</v>
      </c>
      <c r="Q55" s="80">
        <f>SUMIFS($Z$64:$Z$509,$B$64:$B$509,$B55)+SUMIFS($Y$64:$Y$509,$B$64:$B$509,$B55)</f>
        <v>-10185.937002937853</v>
      </c>
      <c r="R55" s="80">
        <f>SUMIFS($AA$64:$AA$509,$B$64:$B$509,$B55)</f>
        <v>877842.5707986441</v>
      </c>
      <c r="S55" s="101">
        <f>SUMIFS($AD$64:$AD$509,$B$64:$B$509,$B55)-SUMIFS($AE$64:$AE$509,$B$64:$B$509,$B55)</f>
        <v>-1</v>
      </c>
      <c r="T55" s="102">
        <f>SUMIFS($AF$64:$AF$509,$B$64:$B$509,$B55)</f>
        <v>947</v>
      </c>
      <c r="U55" s="102">
        <f t="shared" si="43"/>
        <v>980.62793510101699</v>
      </c>
      <c r="V55" s="102">
        <f>SUMIFS($AH$64:$AH$509,$B$64:$B$509,$B55)+SUMIFS($AG$64:$AG$509,$B$64:$B$509,$B55)</f>
        <v>-980.62793510101699</v>
      </c>
      <c r="W55" s="103">
        <f>SUMIFS($AI$64:$AI$509,$B$64:$B$509,$B55)</f>
        <v>928654.65454066312</v>
      </c>
      <c r="X55" s="80">
        <f>SUMIFS($AL$64:$AL$509,$B$64:$B$509,$B55)-SUMIFS($AM$64:$AM$509,$B$64:$B$509,$B55)</f>
        <v>18</v>
      </c>
      <c r="Y55" s="80">
        <f>SUMIFS($AN$64:$AN$509,$B$64:$B$509,$B55)</f>
        <v>965</v>
      </c>
      <c r="Z55" s="80">
        <f t="shared" si="44"/>
        <v>1036.523727401775</v>
      </c>
      <c r="AA55" s="80">
        <f>SUMIFS($AP$64:$AP$509,$B$64:$B$509,$B55)+SUMIFS($AO$64:$AO$509,$B$64:$B$509,$B55)</f>
        <v>18657.427093231949</v>
      </c>
      <c r="AB55" s="98">
        <f>SUMIFS($AQ$64:$AQ$509,$B$64:$B$509,$B55)</f>
        <v>1000245.3969427128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2579</v>
      </c>
      <c r="G56" s="92">
        <f t="shared" ref="G56" si="45">IFERROR(H56/F56,0)</f>
        <v>461.09271539356337</v>
      </c>
      <c r="H56" s="92">
        <f>SUM(H51:H55)</f>
        <v>1189158.1129999999</v>
      </c>
      <c r="I56" s="92">
        <f>SUM(I51:I55)</f>
        <v>238</v>
      </c>
      <c r="J56" s="92">
        <f>SUM(J51:J55)</f>
        <v>2817</v>
      </c>
      <c r="K56" s="92">
        <f t="shared" si="41"/>
        <v>490.97764898015038</v>
      </c>
      <c r="L56" s="92">
        <f>SUM(L51:L55)</f>
        <v>131715.27236966891</v>
      </c>
      <c r="M56" s="92">
        <f>SUM(M51:M55)</f>
        <v>1383084.0371770835</v>
      </c>
      <c r="N56" s="92">
        <f t="shared" ref="N56:O56" si="46">SUM(N51:N55)</f>
        <v>55</v>
      </c>
      <c r="O56" s="92">
        <f t="shared" si="46"/>
        <v>2872</v>
      </c>
      <c r="P56" s="92">
        <f>IFERROR(R56/O56,0)</f>
        <v>519.08088029382986</v>
      </c>
      <c r="Q56" s="92">
        <f t="shared" ref="Q56" si="47">SUM(Q51:Q55)</f>
        <v>11533.714940459135</v>
      </c>
      <c r="R56" s="92">
        <f t="shared" ref="R56:T56" si="48">SUM(R51:R55)</f>
        <v>1490800.2882038793</v>
      </c>
      <c r="S56" s="92">
        <f t="shared" si="48"/>
        <v>-57</v>
      </c>
      <c r="T56" s="92">
        <f t="shared" si="48"/>
        <v>2815</v>
      </c>
      <c r="U56" s="92">
        <f>IFERROR(W56/T56,0)</f>
        <v>559.07229191630074</v>
      </c>
      <c r="V56" s="92">
        <f t="shared" ref="V56" si="49">SUM(V51:V55)</f>
        <v>-19805.656155392029</v>
      </c>
      <c r="W56" s="92">
        <f t="shared" ref="W56:Y56" si="50">SUM(W51:W55)</f>
        <v>1573788.5017443865</v>
      </c>
      <c r="X56" s="92">
        <f t="shared" si="50"/>
        <v>12</v>
      </c>
      <c r="Y56" s="92">
        <f t="shared" si="50"/>
        <v>2827</v>
      </c>
      <c r="Z56" s="92">
        <f>IFERROR(AB56/Y56,0)</f>
        <v>599.61096845125428</v>
      </c>
      <c r="AA56" s="92">
        <f t="shared" ref="AA56" si="51">SUM(AA51:AA55)</f>
        <v>16004.792477554494</v>
      </c>
      <c r="AB56" s="104">
        <f t="shared" ref="AB56" si="52">SUM(AB51:AB55)</f>
        <v>1695100.207811696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11</v>
      </c>
      <c r="G64" s="35">
        <f>SUMIFS(WORKING!$AC$3:$AC$6802,WORKING!$A$3:$A$6802,Results!$D$3,WORKING!$B$3:$B$6802,Results!A64,WORKING!$C$3:$C$6802,Results!C64)/1000</f>
        <v>1146.73921</v>
      </c>
      <c r="H64" s="35">
        <f>IFERROR(G64/F64,0)</f>
        <v>104.24901909090909</v>
      </c>
      <c r="I64" s="156" t="s">
        <v>754</v>
      </c>
      <c r="J64" s="211">
        <v>455</v>
      </c>
      <c r="K64" s="217">
        <f>IFERROR(IF(J64="",G64,J64)/IF(I64="",F64,I64),"")</f>
        <v>41.363636363636367</v>
      </c>
      <c r="L64" s="34">
        <f t="shared" ref="L64:L80" si="54">IF(I64="",F64,I64)</f>
        <v>11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45.174830906505932</v>
      </c>
      <c r="N64" s="57">
        <v>0</v>
      </c>
      <c r="O64" s="57">
        <v>2</v>
      </c>
      <c r="P64" s="61">
        <f t="shared" ref="P64:P80" si="55">-O64+L64+N64</f>
        <v>9</v>
      </c>
      <c r="Q64" s="40">
        <f>M64*N64</f>
        <v>0</v>
      </c>
      <c r="R64" s="40">
        <f>-M64*O64</f>
        <v>-90.349661813011863</v>
      </c>
      <c r="S64" s="44">
        <f>M64*P64</f>
        <v>406.57347815855337</v>
      </c>
      <c r="T64" s="35">
        <f>P64</f>
        <v>9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49.062069813447479</v>
      </c>
      <c r="V64" s="57">
        <v>5</v>
      </c>
      <c r="W64" s="57">
        <v>0</v>
      </c>
      <c r="X64" s="61">
        <f t="shared" ref="X64:X80" si="56">-W64+T64+V64</f>
        <v>14</v>
      </c>
      <c r="Y64" s="40">
        <f>U64*V64</f>
        <v>245.31034906723738</v>
      </c>
      <c r="Z64" s="40">
        <f>-U64*W64</f>
        <v>0</v>
      </c>
      <c r="AA64" s="44">
        <f>U64*X64</f>
        <v>686.86897738826474</v>
      </c>
      <c r="AB64" s="35">
        <f>X64</f>
        <v>14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53.234002925735183</v>
      </c>
      <c r="AD64" s="57">
        <v>0</v>
      </c>
      <c r="AE64" s="57">
        <v>0</v>
      </c>
      <c r="AF64" s="61">
        <f t="shared" ref="AF64:AF80" si="57">-AE64+AB64+AD64</f>
        <v>14</v>
      </c>
      <c r="AG64" s="40">
        <f>AC64*AD64</f>
        <v>0</v>
      </c>
      <c r="AH64" s="40">
        <f>-AC64*AE64</f>
        <v>0</v>
      </c>
      <c r="AI64" s="44">
        <f>AC64*AF64</f>
        <v>745.27604096029256</v>
      </c>
      <c r="AJ64" s="35">
        <f t="shared" ref="AJ64:AJ80" si="58">AF64</f>
        <v>14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57.652626364533482</v>
      </c>
      <c r="AL64" s="57">
        <v>1</v>
      </c>
      <c r="AM64" s="57">
        <v>0</v>
      </c>
      <c r="AN64" s="61">
        <f t="shared" ref="AN64:AN80" si="59">-AM64+AJ64+AL64</f>
        <v>15</v>
      </c>
      <c r="AO64" s="40">
        <f>AK64*AL64</f>
        <v>57.652626364533482</v>
      </c>
      <c r="AP64" s="40">
        <f>-AK64*AM64</f>
        <v>0</v>
      </c>
      <c r="AQ64" s="44">
        <f>AK64*AN64</f>
        <v>864.78939546800223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3</v>
      </c>
      <c r="G66" s="35">
        <f>SUMIFS(WORKING!$AC$3:$AC$6802,WORKING!$A$3:$A$6802,Results!$D$3,WORKING!$B$3:$B$6802,Results!A66,WORKING!$C$3:$C$6802,Results!C66)/1000</f>
        <v>2617.8611400000009</v>
      </c>
      <c r="H66" s="35">
        <f t="shared" si="60"/>
        <v>872.6203800000003</v>
      </c>
      <c r="I66" s="187">
        <v>3</v>
      </c>
      <c r="J66" s="212">
        <v>402</v>
      </c>
      <c r="K66" s="217">
        <f t="shared" si="61"/>
        <v>134</v>
      </c>
      <c r="L66" s="34">
        <f t="shared" si="54"/>
        <v>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145.53658744331202</v>
      </c>
      <c r="N66" s="57">
        <v>0</v>
      </c>
      <c r="O66" s="57">
        <v>1</v>
      </c>
      <c r="P66" s="61">
        <f t="shared" si="55"/>
        <v>2</v>
      </c>
      <c r="Q66" s="40">
        <f t="shared" si="62"/>
        <v>0</v>
      </c>
      <c r="R66" s="40">
        <f t="shared" si="63"/>
        <v>-145.53658744331202</v>
      </c>
      <c r="S66" s="44">
        <f t="shared" si="64"/>
        <v>291.07317488662403</v>
      </c>
      <c r="T66" s="35">
        <f t="shared" si="65"/>
        <v>2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157.80841587183221</v>
      </c>
      <c r="V66" s="57">
        <v>0</v>
      </c>
      <c r="W66" s="57">
        <v>0</v>
      </c>
      <c r="X66" s="61">
        <f t="shared" si="56"/>
        <v>2</v>
      </c>
      <c r="Y66" s="40">
        <f t="shared" si="66"/>
        <v>0</v>
      </c>
      <c r="Z66" s="40">
        <f t="shared" si="67"/>
        <v>0</v>
      </c>
      <c r="AA66" s="44">
        <f t="shared" si="68"/>
        <v>315.61683174366442</v>
      </c>
      <c r="AB66" s="35">
        <f t="shared" si="69"/>
        <v>2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170.95517314459883</v>
      </c>
      <c r="AD66" s="57">
        <v>0</v>
      </c>
      <c r="AE66" s="57">
        <v>0</v>
      </c>
      <c r="AF66" s="61">
        <f t="shared" si="57"/>
        <v>2</v>
      </c>
      <c r="AG66" s="40">
        <f t="shared" si="70"/>
        <v>0</v>
      </c>
      <c r="AH66" s="40">
        <f t="shared" si="71"/>
        <v>0</v>
      </c>
      <c r="AI66" s="44">
        <f t="shared" si="72"/>
        <v>341.91034628919766</v>
      </c>
      <c r="AJ66" s="35">
        <f t="shared" si="58"/>
        <v>2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184.85083736007357</v>
      </c>
      <c r="AL66" s="57">
        <v>0</v>
      </c>
      <c r="AM66" s="57">
        <v>0</v>
      </c>
      <c r="AN66" s="61">
        <f t="shared" si="59"/>
        <v>2</v>
      </c>
      <c r="AO66" s="40">
        <f t="shared" si="73"/>
        <v>0</v>
      </c>
      <c r="AP66" s="40">
        <f t="shared" si="74"/>
        <v>0</v>
      </c>
      <c r="AQ66" s="44">
        <f t="shared" si="75"/>
        <v>369.70167472014714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2</v>
      </c>
      <c r="G67" s="35">
        <f>SUMIFS(WORKING!$AC$3:$AC$6802,WORKING!$A$3:$A$6802,Results!$D$3,WORKING!$B$3:$B$6802,Results!A67,WORKING!$C$3:$C$6802,Results!C67)/1000</f>
        <v>1325.0789299999997</v>
      </c>
      <c r="H67" s="35">
        <f t="shared" si="60"/>
        <v>662.53946499999984</v>
      </c>
      <c r="I67" s="187">
        <v>1</v>
      </c>
      <c r="J67" s="212">
        <v>161</v>
      </c>
      <c r="K67" s="217">
        <f t="shared" si="61"/>
        <v>161</v>
      </c>
      <c r="L67" s="34">
        <f t="shared" si="54"/>
        <v>1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174.98581990721766</v>
      </c>
      <c r="N67" s="57">
        <v>1</v>
      </c>
      <c r="O67" s="57">
        <v>0</v>
      </c>
      <c r="P67" s="61">
        <f t="shared" si="55"/>
        <v>2</v>
      </c>
      <c r="Q67" s="40">
        <f t="shared" si="62"/>
        <v>174.98581990721766</v>
      </c>
      <c r="R67" s="40">
        <f t="shared" si="63"/>
        <v>0</v>
      </c>
      <c r="S67" s="44">
        <f t="shared" si="64"/>
        <v>349.97163981443532</v>
      </c>
      <c r="T67" s="35">
        <f t="shared" si="65"/>
        <v>2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189.77932377867535</v>
      </c>
      <c r="V67" s="57">
        <v>0</v>
      </c>
      <c r="W67" s="57">
        <v>0</v>
      </c>
      <c r="X67" s="61">
        <f t="shared" si="56"/>
        <v>2</v>
      </c>
      <c r="Y67" s="40">
        <f t="shared" si="66"/>
        <v>0</v>
      </c>
      <c r="Z67" s="40">
        <f t="shared" si="67"/>
        <v>0</v>
      </c>
      <c r="AA67" s="44">
        <f t="shared" si="68"/>
        <v>379.5586475573507</v>
      </c>
      <c r="AB67" s="35">
        <f t="shared" si="69"/>
        <v>2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205.63122375075747</v>
      </c>
      <c r="AD67" s="57">
        <v>0</v>
      </c>
      <c r="AE67" s="57">
        <v>0</v>
      </c>
      <c r="AF67" s="61">
        <f t="shared" si="57"/>
        <v>2</v>
      </c>
      <c r="AG67" s="40">
        <f t="shared" si="70"/>
        <v>0</v>
      </c>
      <c r="AH67" s="40">
        <f t="shared" si="71"/>
        <v>0</v>
      </c>
      <c r="AI67" s="44">
        <f t="shared" si="72"/>
        <v>411.26244750151494</v>
      </c>
      <c r="AJ67" s="35">
        <f t="shared" si="58"/>
        <v>2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222.39055572328712</v>
      </c>
      <c r="AL67" s="57">
        <v>0</v>
      </c>
      <c r="AM67" s="57">
        <v>0</v>
      </c>
      <c r="AN67" s="61">
        <f t="shared" si="59"/>
        <v>2</v>
      </c>
      <c r="AO67" s="40">
        <f t="shared" si="73"/>
        <v>0</v>
      </c>
      <c r="AP67" s="40">
        <f t="shared" si="74"/>
        <v>0</v>
      </c>
      <c r="AQ67" s="44">
        <f t="shared" si="75"/>
        <v>444.78111144657424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18</v>
      </c>
      <c r="G68" s="35">
        <f>SUMIFS(WORKING!$AC$3:$AC$6802,WORKING!$A$3:$A$6802,Results!$D$3,WORKING!$B$3:$B$6802,Results!A68,WORKING!$C$3:$C$6802,Results!C68)/1000</f>
        <v>11762.633039999997</v>
      </c>
      <c r="H68" s="35">
        <f t="shared" si="60"/>
        <v>653.47961333333319</v>
      </c>
      <c r="I68" s="187">
        <v>6</v>
      </c>
      <c r="J68" s="212">
        <v>1164</v>
      </c>
      <c r="K68" s="217">
        <f t="shared" si="61"/>
        <v>194</v>
      </c>
      <c r="L68" s="34">
        <f t="shared" si="54"/>
        <v>6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210.98787237387532</v>
      </c>
      <c r="N68" s="57">
        <v>9</v>
      </c>
      <c r="O68" s="57">
        <v>0</v>
      </c>
      <c r="P68" s="61">
        <f t="shared" si="55"/>
        <v>15</v>
      </c>
      <c r="Q68" s="40">
        <f t="shared" si="62"/>
        <v>1898.8908513648778</v>
      </c>
      <c r="R68" s="40">
        <f t="shared" si="63"/>
        <v>0</v>
      </c>
      <c r="S68" s="44">
        <f t="shared" si="64"/>
        <v>3164.8180856081299</v>
      </c>
      <c r="T68" s="35">
        <f t="shared" si="65"/>
        <v>15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228.86732127593251</v>
      </c>
      <c r="V68" s="57">
        <v>0</v>
      </c>
      <c r="W68" s="57">
        <v>0</v>
      </c>
      <c r="X68" s="61">
        <f t="shared" si="56"/>
        <v>15</v>
      </c>
      <c r="Y68" s="40">
        <f t="shared" si="66"/>
        <v>0</v>
      </c>
      <c r="Z68" s="40">
        <f t="shared" si="67"/>
        <v>0</v>
      </c>
      <c r="AA68" s="44">
        <f t="shared" si="68"/>
        <v>3433.0098191389875</v>
      </c>
      <c r="AB68" s="35">
        <f t="shared" si="69"/>
        <v>15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248.02997870082964</v>
      </c>
      <c r="AD68" s="57">
        <v>0</v>
      </c>
      <c r="AE68" s="57">
        <v>0</v>
      </c>
      <c r="AF68" s="61">
        <f t="shared" si="57"/>
        <v>15</v>
      </c>
      <c r="AG68" s="40">
        <f t="shared" si="70"/>
        <v>0</v>
      </c>
      <c r="AH68" s="40">
        <f t="shared" si="71"/>
        <v>0</v>
      </c>
      <c r="AI68" s="44">
        <f t="shared" si="72"/>
        <v>3720.4496805124445</v>
      </c>
      <c r="AJ68" s="35">
        <f t="shared" si="58"/>
        <v>15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268.29440539599091</v>
      </c>
      <c r="AL68" s="57">
        <v>0</v>
      </c>
      <c r="AM68" s="57">
        <v>4</v>
      </c>
      <c r="AN68" s="61">
        <f t="shared" si="59"/>
        <v>11</v>
      </c>
      <c r="AO68" s="40">
        <f t="shared" si="73"/>
        <v>0</v>
      </c>
      <c r="AP68" s="40">
        <f t="shared" si="74"/>
        <v>-1073.1776215839636</v>
      </c>
      <c r="AQ68" s="44">
        <f t="shared" si="75"/>
        <v>2951.2384593559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4</v>
      </c>
      <c r="G69" s="35">
        <f>SUMIFS(WORKING!$AC$3:$AC$6802,WORKING!$A$3:$A$6802,Results!$D$3,WORKING!$B$3:$B$6802,Results!A69,WORKING!$C$3:$C$6802,Results!C69)/1000</f>
        <v>2399.0595000000003</v>
      </c>
      <c r="H69" s="35">
        <f t="shared" si="60"/>
        <v>599.76487500000007</v>
      </c>
      <c r="I69" s="187">
        <v>3</v>
      </c>
      <c r="J69" s="212">
        <v>735</v>
      </c>
      <c r="K69" s="217">
        <f t="shared" si="61"/>
        <v>245</v>
      </c>
      <c r="L69" s="34">
        <f t="shared" si="54"/>
        <v>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266.70981361709966</v>
      </c>
      <c r="N69" s="57">
        <v>0</v>
      </c>
      <c r="O69" s="57">
        <v>0</v>
      </c>
      <c r="P69" s="61">
        <f t="shared" si="55"/>
        <v>3</v>
      </c>
      <c r="Q69" s="40">
        <f t="shared" si="62"/>
        <v>0</v>
      </c>
      <c r="R69" s="40">
        <f t="shared" si="63"/>
        <v>0</v>
      </c>
      <c r="S69" s="44">
        <f t="shared" si="64"/>
        <v>800.12944085129902</v>
      </c>
      <c r="T69" s="35">
        <f t="shared" si="65"/>
        <v>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289.38980748079263</v>
      </c>
      <c r="V69" s="57">
        <v>0</v>
      </c>
      <c r="W69" s="57">
        <v>0</v>
      </c>
      <c r="X69" s="61">
        <f t="shared" si="56"/>
        <v>3</v>
      </c>
      <c r="Y69" s="40">
        <f t="shared" si="66"/>
        <v>0</v>
      </c>
      <c r="Z69" s="40">
        <f t="shared" si="67"/>
        <v>0</v>
      </c>
      <c r="AA69" s="44">
        <f t="shared" si="68"/>
        <v>868.16942244237794</v>
      </c>
      <c r="AB69" s="35">
        <f t="shared" si="69"/>
        <v>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313.70512246792771</v>
      </c>
      <c r="AD69" s="57">
        <v>0</v>
      </c>
      <c r="AE69" s="57">
        <v>0</v>
      </c>
      <c r="AF69" s="61">
        <f t="shared" si="57"/>
        <v>3</v>
      </c>
      <c r="AG69" s="40">
        <f t="shared" si="70"/>
        <v>0</v>
      </c>
      <c r="AH69" s="40">
        <f t="shared" si="71"/>
        <v>0</v>
      </c>
      <c r="AI69" s="44">
        <f t="shared" si="72"/>
        <v>941.11536740378313</v>
      </c>
      <c r="AJ69" s="35">
        <f t="shared" si="58"/>
        <v>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339.42758879791194</v>
      </c>
      <c r="AL69" s="57">
        <v>0</v>
      </c>
      <c r="AM69" s="57">
        <v>0</v>
      </c>
      <c r="AN69" s="61">
        <f t="shared" si="59"/>
        <v>3</v>
      </c>
      <c r="AO69" s="40">
        <f t="shared" si="73"/>
        <v>0</v>
      </c>
      <c r="AP69" s="40">
        <f t="shared" si="74"/>
        <v>0</v>
      </c>
      <c r="AQ69" s="44">
        <f t="shared" si="75"/>
        <v>1018.2827663937358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15</v>
      </c>
      <c r="G70" s="35">
        <f>SUMIFS(WORKING!$AC$3:$AC$6802,WORKING!$A$3:$A$6802,Results!$D$3,WORKING!$B$3:$B$6802,Results!A70,WORKING!$C$3:$C$6802,Results!C70)/1000</f>
        <v>12662.512819999998</v>
      </c>
      <c r="H70" s="35">
        <f t="shared" si="60"/>
        <v>844.16752133333318</v>
      </c>
      <c r="I70" s="187">
        <v>12</v>
      </c>
      <c r="J70" s="212">
        <v>3396</v>
      </c>
      <c r="K70" s="217">
        <f t="shared" si="61"/>
        <v>283</v>
      </c>
      <c r="L70" s="34">
        <f t="shared" si="54"/>
        <v>12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308.40935354577931</v>
      </c>
      <c r="N70" s="57">
        <v>14</v>
      </c>
      <c r="O70" s="57">
        <v>0</v>
      </c>
      <c r="P70" s="61">
        <f t="shared" si="55"/>
        <v>26</v>
      </c>
      <c r="Q70" s="40">
        <f t="shared" si="62"/>
        <v>4317.7309496409107</v>
      </c>
      <c r="R70" s="40">
        <f t="shared" si="63"/>
        <v>0</v>
      </c>
      <c r="S70" s="44">
        <f t="shared" si="64"/>
        <v>8018.6431921902622</v>
      </c>
      <c r="T70" s="35">
        <f t="shared" si="65"/>
        <v>26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334.73961305269205</v>
      </c>
      <c r="V70" s="57">
        <v>9</v>
      </c>
      <c r="W70" s="57">
        <v>0</v>
      </c>
      <c r="X70" s="61">
        <f t="shared" si="56"/>
        <v>35</v>
      </c>
      <c r="Y70" s="40">
        <f t="shared" si="66"/>
        <v>3012.6565174742286</v>
      </c>
      <c r="Z70" s="40">
        <f t="shared" si="67"/>
        <v>0</v>
      </c>
      <c r="AA70" s="44">
        <f t="shared" si="68"/>
        <v>11715.886456844222</v>
      </c>
      <c r="AB70" s="35">
        <f t="shared" si="69"/>
        <v>35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362.97835498389549</v>
      </c>
      <c r="AD70" s="57">
        <v>0</v>
      </c>
      <c r="AE70" s="57">
        <v>9</v>
      </c>
      <c r="AF70" s="61">
        <f t="shared" si="57"/>
        <v>26</v>
      </c>
      <c r="AG70" s="40">
        <f t="shared" si="70"/>
        <v>0</v>
      </c>
      <c r="AH70" s="40">
        <f t="shared" si="71"/>
        <v>-3266.8051948550592</v>
      </c>
      <c r="AI70" s="44">
        <f t="shared" si="72"/>
        <v>9437.4372295812827</v>
      </c>
      <c r="AJ70" s="35">
        <f t="shared" si="58"/>
        <v>26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392.86315985344959</v>
      </c>
      <c r="AL70" s="57">
        <v>0</v>
      </c>
      <c r="AM70" s="57">
        <v>2</v>
      </c>
      <c r="AN70" s="61">
        <f t="shared" si="59"/>
        <v>24</v>
      </c>
      <c r="AO70" s="40">
        <f t="shared" si="73"/>
        <v>0</v>
      </c>
      <c r="AP70" s="40">
        <f t="shared" si="74"/>
        <v>-785.72631970689918</v>
      </c>
      <c r="AQ70" s="44">
        <f t="shared" si="75"/>
        <v>9428.7158364827901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8</v>
      </c>
      <c r="G71" s="35">
        <f>SUMIFS(WORKING!$AC$3:$AC$6802,WORKING!$A$3:$A$6802,Results!$D$3,WORKING!$B$3:$B$6802,Results!A71,WORKING!$C$3:$C$6802,Results!C71)/1000</f>
        <v>3065.2515100000001</v>
      </c>
      <c r="H71" s="35">
        <f>IFERROR(G71/F71,0)</f>
        <v>383.15643875000001</v>
      </c>
      <c r="I71" s="187">
        <v>7</v>
      </c>
      <c r="J71" s="212">
        <v>2170</v>
      </c>
      <c r="K71" s="217">
        <f t="shared" si="61"/>
        <v>310</v>
      </c>
      <c r="L71" s="34">
        <f t="shared" si="54"/>
        <v>7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337.57784463724209</v>
      </c>
      <c r="N71" s="57">
        <v>4</v>
      </c>
      <c r="O71" s="57">
        <v>0</v>
      </c>
      <c r="P71" s="61">
        <f t="shared" si="55"/>
        <v>11</v>
      </c>
      <c r="Q71" s="40">
        <f t="shared" si="62"/>
        <v>1350.3113785489684</v>
      </c>
      <c r="R71" s="40">
        <f t="shared" si="63"/>
        <v>0</v>
      </c>
      <c r="S71" s="44">
        <f t="shared" si="64"/>
        <v>3713.356291009663</v>
      </c>
      <c r="T71" s="35">
        <f t="shared" si="65"/>
        <v>11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366.31871952938496</v>
      </c>
      <c r="V71" s="57">
        <v>0</v>
      </c>
      <c r="W71" s="57">
        <v>0</v>
      </c>
      <c r="X71" s="61">
        <f t="shared" si="56"/>
        <v>11</v>
      </c>
      <c r="Y71" s="40">
        <f t="shared" si="66"/>
        <v>0</v>
      </c>
      <c r="Z71" s="40">
        <f t="shared" si="67"/>
        <v>0</v>
      </c>
      <c r="AA71" s="44">
        <f t="shared" si="68"/>
        <v>4029.5059148232344</v>
      </c>
      <c r="AB71" s="35">
        <f t="shared" si="69"/>
        <v>11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397.13520748778512</v>
      </c>
      <c r="AD71" s="57">
        <v>0</v>
      </c>
      <c r="AE71" s="57">
        <v>0</v>
      </c>
      <c r="AF71" s="61">
        <f t="shared" si="57"/>
        <v>11</v>
      </c>
      <c r="AG71" s="40">
        <f t="shared" si="70"/>
        <v>0</v>
      </c>
      <c r="AH71" s="40">
        <f t="shared" si="71"/>
        <v>0</v>
      </c>
      <c r="AI71" s="44">
        <f t="shared" si="72"/>
        <v>4368.487282365636</v>
      </c>
      <c r="AJ71" s="35">
        <f t="shared" si="58"/>
        <v>11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429.73896363768552</v>
      </c>
      <c r="AL71" s="57">
        <v>0</v>
      </c>
      <c r="AM71" s="57">
        <v>0</v>
      </c>
      <c r="AN71" s="61">
        <f t="shared" si="59"/>
        <v>11</v>
      </c>
      <c r="AO71" s="40">
        <f t="shared" si="73"/>
        <v>0</v>
      </c>
      <c r="AP71" s="40">
        <f t="shared" si="74"/>
        <v>0</v>
      </c>
      <c r="AQ71" s="44">
        <f t="shared" si="75"/>
        <v>4727.128600014541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15</v>
      </c>
      <c r="G72" s="35">
        <f>SUMIFS(WORKING!$AC$3:$AC$6802,WORKING!$A$3:$A$6802,Results!$D$3,WORKING!$B$3:$B$6802,Results!A72,WORKING!$C$3:$C$6802,Results!C72)/1000</f>
        <v>9595.97984</v>
      </c>
      <c r="H72" s="35">
        <f t="shared" si="60"/>
        <v>639.73198933333333</v>
      </c>
      <c r="I72" s="187">
        <v>19</v>
      </c>
      <c r="J72" s="212">
        <v>6973</v>
      </c>
      <c r="K72" s="217">
        <f>IFERROR(IF(J72="",G72,J72)/IF(I72="",F72,I72),"")</f>
        <v>367</v>
      </c>
      <c r="L72" s="34">
        <f t="shared" si="54"/>
        <v>19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400.03913789987439</v>
      </c>
      <c r="N72" s="57">
        <v>9</v>
      </c>
      <c r="O72" s="57">
        <v>0</v>
      </c>
      <c r="P72" s="61">
        <f t="shared" si="55"/>
        <v>28</v>
      </c>
      <c r="Q72" s="40">
        <f t="shared" si="62"/>
        <v>3600.3522410988694</v>
      </c>
      <c r="R72" s="40">
        <f t="shared" si="63"/>
        <v>0</v>
      </c>
      <c r="S72" s="44">
        <f t="shared" si="64"/>
        <v>11201.095861196483</v>
      </c>
      <c r="T72" s="35">
        <f t="shared" si="65"/>
        <v>28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434.2201284865601</v>
      </c>
      <c r="V72" s="57">
        <v>5</v>
      </c>
      <c r="W72" s="57">
        <v>0</v>
      </c>
      <c r="X72" s="61">
        <f t="shared" si="56"/>
        <v>33</v>
      </c>
      <c r="Y72" s="40">
        <f t="shared" si="66"/>
        <v>2171.1006424328007</v>
      </c>
      <c r="Z72" s="40">
        <f t="shared" si="67"/>
        <v>0</v>
      </c>
      <c r="AA72" s="44">
        <f t="shared" si="68"/>
        <v>14329.264240056484</v>
      </c>
      <c r="AB72" s="35">
        <f t="shared" si="69"/>
        <v>33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470.88130751041052</v>
      </c>
      <c r="AD72" s="57">
        <v>0</v>
      </c>
      <c r="AE72" s="57">
        <v>5</v>
      </c>
      <c r="AF72" s="61">
        <f t="shared" si="57"/>
        <v>28</v>
      </c>
      <c r="AG72" s="40">
        <f t="shared" si="70"/>
        <v>0</v>
      </c>
      <c r="AH72" s="40">
        <f t="shared" si="71"/>
        <v>-2354.4065375520527</v>
      </c>
      <c r="AI72" s="44">
        <f t="shared" si="72"/>
        <v>13184.676610291495</v>
      </c>
      <c r="AJ72" s="35">
        <f t="shared" si="58"/>
        <v>28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509.68267360520571</v>
      </c>
      <c r="AL72" s="57">
        <v>0</v>
      </c>
      <c r="AM72" s="57">
        <v>0</v>
      </c>
      <c r="AN72" s="61">
        <f t="shared" si="59"/>
        <v>28</v>
      </c>
      <c r="AO72" s="40">
        <f t="shared" si="73"/>
        <v>0</v>
      </c>
      <c r="AP72" s="40">
        <f t="shared" si="74"/>
        <v>0</v>
      </c>
      <c r="AQ72" s="44">
        <f t="shared" si="75"/>
        <v>14271.11486094576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</v>
      </c>
      <c r="G73" s="35">
        <f>SUMIFS(WORKING!$AC$3:$AC$6802,WORKING!$A$3:$A$6802,Results!$D$3,WORKING!$B$3:$B$6802,Results!A73,WORKING!$C$3:$C$6802,Results!C73)/1000</f>
        <v>644.22136999999998</v>
      </c>
      <c r="H73" s="35">
        <f t="shared" si="60"/>
        <v>322.11068499999999</v>
      </c>
      <c r="I73" s="187">
        <v>2</v>
      </c>
      <c r="J73" s="212">
        <v>876</v>
      </c>
      <c r="K73" s="217">
        <f t="shared" si="61"/>
        <v>438</v>
      </c>
      <c r="L73" s="34">
        <f t="shared" si="54"/>
        <v>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477.60941006682577</v>
      </c>
      <c r="N73" s="57">
        <v>0</v>
      </c>
      <c r="O73" s="57">
        <v>0</v>
      </c>
      <c r="P73" s="61">
        <f t="shared" si="55"/>
        <v>2</v>
      </c>
      <c r="Q73" s="40">
        <f t="shared" si="62"/>
        <v>0</v>
      </c>
      <c r="R73" s="40">
        <f t="shared" si="63"/>
        <v>0</v>
      </c>
      <c r="S73" s="44">
        <f t="shared" si="64"/>
        <v>955.21882013365155</v>
      </c>
      <c r="T73" s="35">
        <f t="shared" si="65"/>
        <v>2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518.47384207672781</v>
      </c>
      <c r="V73" s="57">
        <v>0</v>
      </c>
      <c r="W73" s="57">
        <v>0</v>
      </c>
      <c r="X73" s="61">
        <f t="shared" si="56"/>
        <v>2</v>
      </c>
      <c r="Y73" s="40">
        <f t="shared" si="66"/>
        <v>0</v>
      </c>
      <c r="Z73" s="40">
        <f t="shared" si="67"/>
        <v>0</v>
      </c>
      <c r="AA73" s="44">
        <f t="shared" si="68"/>
        <v>1036.9476841534556</v>
      </c>
      <c r="AB73" s="35">
        <f t="shared" si="69"/>
        <v>2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562.30876037246901</v>
      </c>
      <c r="AD73" s="57">
        <v>0</v>
      </c>
      <c r="AE73" s="57">
        <v>0</v>
      </c>
      <c r="AF73" s="61">
        <f t="shared" si="57"/>
        <v>2</v>
      </c>
      <c r="AG73" s="40">
        <f t="shared" si="70"/>
        <v>0</v>
      </c>
      <c r="AH73" s="40">
        <f t="shared" si="71"/>
        <v>0</v>
      </c>
      <c r="AI73" s="44">
        <f t="shared" si="72"/>
        <v>1124.617520744938</v>
      </c>
      <c r="AJ73" s="35">
        <f t="shared" si="58"/>
        <v>2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608.70904612868583</v>
      </c>
      <c r="AL73" s="57">
        <v>0</v>
      </c>
      <c r="AM73" s="57">
        <v>0</v>
      </c>
      <c r="AN73" s="61">
        <f t="shared" si="59"/>
        <v>2</v>
      </c>
      <c r="AO73" s="40">
        <f t="shared" si="73"/>
        <v>0</v>
      </c>
      <c r="AP73" s="40">
        <f t="shared" si="74"/>
        <v>0</v>
      </c>
      <c r="AQ73" s="44">
        <f t="shared" si="75"/>
        <v>1217.4180922573717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22</v>
      </c>
      <c r="G74" s="35">
        <f>SUMIFS(WORKING!$AC$3:$AC$6802,WORKING!$A$3:$A$6802,Results!$D$3,WORKING!$B$3:$B$6802,Results!A74,WORKING!$C$3:$C$6802,Results!C74)/1000</f>
        <v>12127.23351</v>
      </c>
      <c r="H74" s="35">
        <f t="shared" si="60"/>
        <v>551.23788681818178</v>
      </c>
      <c r="I74" s="187">
        <v>25</v>
      </c>
      <c r="J74" s="212">
        <v>15300</v>
      </c>
      <c r="K74" s="217">
        <f t="shared" si="61"/>
        <v>612</v>
      </c>
      <c r="L74" s="34">
        <f t="shared" si="54"/>
        <v>25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668.07093285826932</v>
      </c>
      <c r="N74" s="57">
        <v>1</v>
      </c>
      <c r="O74" s="57">
        <v>0</v>
      </c>
      <c r="P74" s="61">
        <f t="shared" si="55"/>
        <v>26</v>
      </c>
      <c r="Q74" s="40">
        <f t="shared" si="62"/>
        <v>668.07093285826932</v>
      </c>
      <c r="R74" s="40">
        <f t="shared" si="63"/>
        <v>0</v>
      </c>
      <c r="S74" s="44">
        <f t="shared" si="64"/>
        <v>17369.844254315001</v>
      </c>
      <c r="T74" s="35">
        <f t="shared" si="65"/>
        <v>26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725.21242638437332</v>
      </c>
      <c r="V74" s="57">
        <v>0</v>
      </c>
      <c r="W74" s="57">
        <v>0</v>
      </c>
      <c r="X74" s="61">
        <f t="shared" si="56"/>
        <v>26</v>
      </c>
      <c r="Y74" s="40">
        <f t="shared" si="66"/>
        <v>0</v>
      </c>
      <c r="Z74" s="40">
        <f t="shared" si="67"/>
        <v>0</v>
      </c>
      <c r="AA74" s="44">
        <f t="shared" si="68"/>
        <v>18855.523085993707</v>
      </c>
      <c r="AB74" s="35">
        <f t="shared" si="69"/>
        <v>26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786.50561087399069</v>
      </c>
      <c r="AD74" s="57">
        <v>0</v>
      </c>
      <c r="AE74" s="57">
        <v>0</v>
      </c>
      <c r="AF74" s="61">
        <f t="shared" si="57"/>
        <v>26</v>
      </c>
      <c r="AG74" s="40">
        <f t="shared" si="70"/>
        <v>0</v>
      </c>
      <c r="AH74" s="40">
        <f t="shared" si="71"/>
        <v>0</v>
      </c>
      <c r="AI74" s="44">
        <f t="shared" si="72"/>
        <v>20449.145882723758</v>
      </c>
      <c r="AJ74" s="35">
        <f t="shared" si="58"/>
        <v>26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851.38330075112503</v>
      </c>
      <c r="AL74" s="57">
        <v>0</v>
      </c>
      <c r="AM74" s="57">
        <v>1</v>
      </c>
      <c r="AN74" s="61">
        <f t="shared" si="59"/>
        <v>25</v>
      </c>
      <c r="AO74" s="40">
        <f t="shared" si="73"/>
        <v>0</v>
      </c>
      <c r="AP74" s="40">
        <f t="shared" si="74"/>
        <v>-851.38330075112503</v>
      </c>
      <c r="AQ74" s="44">
        <f t="shared" si="75"/>
        <v>21284.582518778127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2</v>
      </c>
      <c r="G75" s="35">
        <f>SUMIFS(WORKING!$AC$3:$AC$6802,WORKING!$A$3:$A$6802,Results!$D$3,WORKING!$B$3:$B$6802,Results!A75,WORKING!$C$3:$C$6802,Results!C75)/1000</f>
        <v>3638.9281500000011</v>
      </c>
      <c r="H75" s="35">
        <f t="shared" si="60"/>
        <v>1819.4640750000005</v>
      </c>
      <c r="I75" s="187">
        <v>2</v>
      </c>
      <c r="J75" s="212">
        <v>1356</v>
      </c>
      <c r="K75" s="217">
        <f t="shared" si="61"/>
        <v>678</v>
      </c>
      <c r="L75" s="34">
        <f t="shared" si="54"/>
        <v>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740.11322012662424</v>
      </c>
      <c r="N75" s="57">
        <v>0</v>
      </c>
      <c r="O75" s="57">
        <v>0</v>
      </c>
      <c r="P75" s="61">
        <f t="shared" si="55"/>
        <v>2</v>
      </c>
      <c r="Q75" s="40">
        <f t="shared" si="62"/>
        <v>0</v>
      </c>
      <c r="R75" s="40">
        <f t="shared" si="63"/>
        <v>0</v>
      </c>
      <c r="S75" s="44">
        <f t="shared" si="64"/>
        <v>1480.2264402532485</v>
      </c>
      <c r="T75" s="35">
        <f t="shared" si="65"/>
        <v>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803.41167043435621</v>
      </c>
      <c r="V75" s="57">
        <v>0</v>
      </c>
      <c r="W75" s="57">
        <v>0</v>
      </c>
      <c r="X75" s="61">
        <f t="shared" si="56"/>
        <v>2</v>
      </c>
      <c r="Y75" s="40">
        <f t="shared" si="66"/>
        <v>0</v>
      </c>
      <c r="Z75" s="40">
        <f t="shared" si="67"/>
        <v>0</v>
      </c>
      <c r="AA75" s="44">
        <f t="shared" si="68"/>
        <v>1606.8233408687124</v>
      </c>
      <c r="AB75" s="35">
        <f t="shared" si="69"/>
        <v>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871.30867463409595</v>
      </c>
      <c r="AD75" s="57">
        <v>0</v>
      </c>
      <c r="AE75" s="57">
        <v>0</v>
      </c>
      <c r="AF75" s="61">
        <f t="shared" si="57"/>
        <v>2</v>
      </c>
      <c r="AG75" s="40">
        <f t="shared" si="70"/>
        <v>0</v>
      </c>
      <c r="AH75" s="40">
        <f t="shared" si="71"/>
        <v>0</v>
      </c>
      <c r="AI75" s="44">
        <f t="shared" si="72"/>
        <v>1742.6173492681919</v>
      </c>
      <c r="AJ75" s="35">
        <f t="shared" si="58"/>
        <v>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943.17581028352288</v>
      </c>
      <c r="AL75" s="57">
        <v>0</v>
      </c>
      <c r="AM75" s="57">
        <v>0</v>
      </c>
      <c r="AN75" s="61">
        <f t="shared" si="59"/>
        <v>2</v>
      </c>
      <c r="AO75" s="40">
        <f t="shared" si="73"/>
        <v>0</v>
      </c>
      <c r="AP75" s="40">
        <f t="shared" si="74"/>
        <v>0</v>
      </c>
      <c r="AQ75" s="44">
        <f t="shared" si="75"/>
        <v>1886.3516205670458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10</v>
      </c>
      <c r="G76" s="35">
        <f>SUMIFS(WORKING!$AC$3:$AC$6802,WORKING!$A$3:$A$6802,Results!$D$3,WORKING!$B$3:$B$6802,Results!A76,WORKING!$C$3:$C$6802,Results!C76)/1000</f>
        <v>13355.799170000004</v>
      </c>
      <c r="H76" s="35">
        <f t="shared" si="60"/>
        <v>1335.5799170000005</v>
      </c>
      <c r="I76" s="187">
        <v>15</v>
      </c>
      <c r="J76" s="212">
        <v>12916</v>
      </c>
      <c r="K76" s="217">
        <f t="shared" si="61"/>
        <v>861.06666666666672</v>
      </c>
      <c r="L76" s="34">
        <f t="shared" si="54"/>
        <v>15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902.37498640127194</v>
      </c>
      <c r="N76" s="57">
        <v>1</v>
      </c>
      <c r="O76" s="57">
        <v>0</v>
      </c>
      <c r="P76" s="61">
        <f t="shared" si="55"/>
        <v>16</v>
      </c>
      <c r="Q76" s="40">
        <f t="shared" si="62"/>
        <v>902.37498640127194</v>
      </c>
      <c r="R76" s="40">
        <f t="shared" si="63"/>
        <v>0</v>
      </c>
      <c r="S76" s="44">
        <f t="shared" si="64"/>
        <v>14437.999782420351</v>
      </c>
      <c r="T76" s="35">
        <f t="shared" si="65"/>
        <v>16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970.38229265118707</v>
      </c>
      <c r="V76" s="57">
        <v>0</v>
      </c>
      <c r="W76" s="57">
        <v>0</v>
      </c>
      <c r="X76" s="61">
        <f t="shared" si="56"/>
        <v>16</v>
      </c>
      <c r="Y76" s="40">
        <f t="shared" si="66"/>
        <v>0</v>
      </c>
      <c r="Z76" s="40">
        <f t="shared" si="67"/>
        <v>0</v>
      </c>
      <c r="AA76" s="44">
        <f t="shared" si="68"/>
        <v>15526.116682418993</v>
      </c>
      <c r="AB76" s="35">
        <f t="shared" si="69"/>
        <v>16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1042.5305075529257</v>
      </c>
      <c r="AD76" s="57">
        <v>0</v>
      </c>
      <c r="AE76" s="57">
        <v>0</v>
      </c>
      <c r="AF76" s="61">
        <f t="shared" si="57"/>
        <v>16</v>
      </c>
      <c r="AG76" s="40">
        <f t="shared" si="70"/>
        <v>0</v>
      </c>
      <c r="AH76" s="40">
        <f t="shared" si="71"/>
        <v>0</v>
      </c>
      <c r="AI76" s="44">
        <f t="shared" si="72"/>
        <v>16680.48812084681</v>
      </c>
      <c r="AJ76" s="35">
        <f t="shared" si="58"/>
        <v>16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1117.9276797392611</v>
      </c>
      <c r="AL76" s="57">
        <v>0</v>
      </c>
      <c r="AM76" s="57">
        <v>0</v>
      </c>
      <c r="AN76" s="61">
        <f t="shared" si="59"/>
        <v>16</v>
      </c>
      <c r="AO76" s="40">
        <f t="shared" si="73"/>
        <v>0</v>
      </c>
      <c r="AP76" s="40">
        <f t="shared" si="74"/>
        <v>0</v>
      </c>
      <c r="AQ76" s="44">
        <f t="shared" si="75"/>
        <v>17886.842875828177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</v>
      </c>
      <c r="G77" s="35">
        <f>SUMIFS(WORKING!$AC$3:$AC$6802,WORKING!$A$3:$A$6802,Results!$D$3,WORKING!$B$3:$B$6802,Results!A77,WORKING!$C$3:$C$6802,Results!C77)/1000</f>
        <v>6445.7076300000008</v>
      </c>
      <c r="H77" s="35">
        <f t="shared" si="60"/>
        <v>2148.5692100000001</v>
      </c>
      <c r="I77" s="187">
        <v>4</v>
      </c>
      <c r="J77" s="212">
        <v>4188</v>
      </c>
      <c r="K77" s="217">
        <f t="shared" si="61"/>
        <v>1047</v>
      </c>
      <c r="L77" s="34">
        <f t="shared" si="54"/>
        <v>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1097.6040700208816</v>
      </c>
      <c r="N77" s="57">
        <v>3</v>
      </c>
      <c r="O77" s="57">
        <v>0</v>
      </c>
      <c r="P77" s="61">
        <f t="shared" si="55"/>
        <v>7</v>
      </c>
      <c r="Q77" s="40">
        <f t="shared" si="62"/>
        <v>3292.8122100626451</v>
      </c>
      <c r="R77" s="40">
        <f t="shared" si="63"/>
        <v>0</v>
      </c>
      <c r="S77" s="44">
        <f t="shared" si="64"/>
        <v>7683.2284901461717</v>
      </c>
      <c r="T77" s="35">
        <f t="shared" si="65"/>
        <v>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1180.7291345465806</v>
      </c>
      <c r="V77" s="57">
        <v>0</v>
      </c>
      <c r="W77" s="57">
        <v>0</v>
      </c>
      <c r="X77" s="61">
        <f t="shared" si="56"/>
        <v>7</v>
      </c>
      <c r="Y77" s="40">
        <f t="shared" si="66"/>
        <v>0</v>
      </c>
      <c r="Z77" s="40">
        <f t="shared" si="67"/>
        <v>0</v>
      </c>
      <c r="AA77" s="44">
        <f t="shared" si="68"/>
        <v>8265.1039418260643</v>
      </c>
      <c r="AB77" s="35">
        <f t="shared" si="69"/>
        <v>7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1268.9512716340912</v>
      </c>
      <c r="AD77" s="57">
        <v>0</v>
      </c>
      <c r="AE77" s="57">
        <v>0</v>
      </c>
      <c r="AF77" s="61">
        <f t="shared" si="57"/>
        <v>7</v>
      </c>
      <c r="AG77" s="40">
        <f t="shared" si="70"/>
        <v>0</v>
      </c>
      <c r="AH77" s="40">
        <f t="shared" si="71"/>
        <v>0</v>
      </c>
      <c r="AI77" s="44">
        <f t="shared" si="72"/>
        <v>8882.6589014386391</v>
      </c>
      <c r="AJ77" s="35">
        <f t="shared" si="58"/>
        <v>7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1361.189649851709</v>
      </c>
      <c r="AL77" s="57">
        <v>0</v>
      </c>
      <c r="AM77" s="57">
        <v>0</v>
      </c>
      <c r="AN77" s="61">
        <f t="shared" si="59"/>
        <v>7</v>
      </c>
      <c r="AO77" s="40">
        <f t="shared" si="73"/>
        <v>0</v>
      </c>
      <c r="AP77" s="40">
        <f t="shared" si="74"/>
        <v>0</v>
      </c>
      <c r="AQ77" s="44">
        <f t="shared" si="75"/>
        <v>9528.3275489619627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873.28281000000004</v>
      </c>
      <c r="H78" s="35">
        <f t="shared" si="60"/>
        <v>0</v>
      </c>
      <c r="I78" s="187">
        <v>1</v>
      </c>
      <c r="J78" s="212">
        <v>1106</v>
      </c>
      <c r="K78" s="217">
        <f t="shared" si="61"/>
        <v>1106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1159.0330585083511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1159.0330585083511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1246.3558698204604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1246.3558698204604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1338.9932826834947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1338.9932826834947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1435.7993765385875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1435.7993765385875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27</v>
      </c>
      <c r="G79" s="35">
        <f>SUMIFS(WORKING!$AC$3:$AC$6802,WORKING!$A$3:$A$6802,Results!$D$3,WORKING!$B$3:$B$6802,Results!A79,WORKING!$C$3:$C$6802,Results!C79)/1000</f>
        <v>74926.643400000074</v>
      </c>
      <c r="H79" s="35">
        <f t="shared" si="60"/>
        <v>2775.0608666666694</v>
      </c>
      <c r="I79" s="187">
        <v>1</v>
      </c>
      <c r="J79" s="212">
        <v>1445</v>
      </c>
      <c r="K79" s="217">
        <f t="shared" si="61"/>
        <v>1445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1515.0135931131351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1515.0135931131351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1629.9367639901432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1629.9367639901432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1751.9232511937464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1751.9232511937464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1879.4830988517365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1879.4830988517365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>
        <v>0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142</v>
      </c>
      <c r="G84" s="41">
        <f>SUM(G64:G83)</f>
        <v>156586.93203000008</v>
      </c>
      <c r="H84" s="41">
        <f>IFERROR(G84/F84,0)</f>
        <v>1102.7248734507048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112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52643</v>
      </c>
      <c r="K84" s="41">
        <f>IFERROR(J84/I84,"")</f>
        <v>470.02678571428572</v>
      </c>
      <c r="L84" s="41">
        <f>SUM(L64:L83)</f>
        <v>112</v>
      </c>
      <c r="M84" s="41">
        <f>IFERROR(S84/P84,0)</f>
        <v>480.43858014970442</v>
      </c>
      <c r="N84" s="41">
        <f t="shared" ref="N84:T84" si="98">SUM(N64:N83)</f>
        <v>42</v>
      </c>
      <c r="O84" s="41">
        <f t="shared" si="98"/>
        <v>3</v>
      </c>
      <c r="P84" s="41">
        <f t="shared" si="98"/>
        <v>151</v>
      </c>
      <c r="Q84" s="41">
        <f t="shared" si="98"/>
        <v>16205.529369883028</v>
      </c>
      <c r="R84" s="41">
        <f t="shared" si="98"/>
        <v>-235.88624925632388</v>
      </c>
      <c r="S84" s="45">
        <f t="shared" si="98"/>
        <v>72546.225602605366</v>
      </c>
      <c r="T84" s="41">
        <f t="shared" si="98"/>
        <v>151</v>
      </c>
      <c r="U84" s="41">
        <f>IFERROR(AA84/X84,0)</f>
        <v>493.67463340627131</v>
      </c>
      <c r="V84" s="41">
        <f t="shared" ref="V84:AB84" si="99">SUM(V64:V83)</f>
        <v>19</v>
      </c>
      <c r="W84" s="41">
        <f t="shared" si="99"/>
        <v>0</v>
      </c>
      <c r="X84" s="41">
        <f t="shared" si="99"/>
        <v>170</v>
      </c>
      <c r="Y84" s="41">
        <f t="shared" si="99"/>
        <v>5429.0675089742672</v>
      </c>
      <c r="Z84" s="41">
        <f t="shared" si="99"/>
        <v>0</v>
      </c>
      <c r="AA84" s="45">
        <f t="shared" si="99"/>
        <v>83924.687679066119</v>
      </c>
      <c r="AB84" s="41">
        <f t="shared" si="99"/>
        <v>170</v>
      </c>
      <c r="AC84" s="41">
        <f>IFERROR(AI84/AF84,0)</f>
        <v>545.64781611413616</v>
      </c>
      <c r="AD84" s="41">
        <f t="shared" ref="AD84:AJ84" si="100">SUM(AD64:AD83)</f>
        <v>0</v>
      </c>
      <c r="AE84" s="41">
        <f t="shared" si="100"/>
        <v>14</v>
      </c>
      <c r="AF84" s="41">
        <f t="shared" si="100"/>
        <v>156</v>
      </c>
      <c r="AG84" s="41">
        <f t="shared" si="100"/>
        <v>0</v>
      </c>
      <c r="AH84" s="41">
        <f t="shared" si="100"/>
        <v>-5621.2117324071114</v>
      </c>
      <c r="AI84" s="45">
        <f t="shared" si="100"/>
        <v>85121.059313805235</v>
      </c>
      <c r="AJ84" s="41">
        <f t="shared" si="100"/>
        <v>156</v>
      </c>
      <c r="AK84" s="41">
        <f>IFERROR(AQ84/AN84,0)</f>
        <v>594.63038557740322</v>
      </c>
      <c r="AL84" s="41">
        <f t="shared" ref="AL84:AQ84" si="101">SUM(AL64:AL83)</f>
        <v>1</v>
      </c>
      <c r="AM84" s="41">
        <f t="shared" si="101"/>
        <v>7</v>
      </c>
      <c r="AN84" s="41">
        <f t="shared" si="101"/>
        <v>150</v>
      </c>
      <c r="AO84" s="41">
        <f t="shared" si="101"/>
        <v>57.652626364533482</v>
      </c>
      <c r="AP84" s="41">
        <f t="shared" si="101"/>
        <v>-2710.2872420419881</v>
      </c>
      <c r="AQ84" s="45">
        <f t="shared" si="101"/>
        <v>89194.557836610475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97070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111476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118163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127143.38800000001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24523.774397394634</v>
      </c>
      <c r="T86" s="39"/>
      <c r="U86" s="39"/>
      <c r="V86" s="53"/>
      <c r="W86" s="53"/>
      <c r="X86" s="110"/>
      <c r="Y86" s="39"/>
      <c r="Z86" s="39"/>
      <c r="AA86" s="54">
        <f>AA85-AA84</f>
        <v>27551.312320933881</v>
      </c>
      <c r="AB86" s="39"/>
      <c r="AC86" s="53"/>
      <c r="AD86" s="53"/>
      <c r="AE86" s="110"/>
      <c r="AF86" s="39"/>
      <c r="AG86" s="39"/>
      <c r="AH86" s="39"/>
      <c r="AI86" s="54">
        <f>AI85-AI84</f>
        <v>33041.940686194765</v>
      </c>
      <c r="AJ86" s="53"/>
      <c r="AK86" s="53"/>
      <c r="AL86" s="110"/>
      <c r="AM86" s="110"/>
      <c r="AN86" s="110"/>
      <c r="AO86" s="110"/>
      <c r="AP86" s="111"/>
      <c r="AQ86" s="54">
        <f>AQ85-AQ84</f>
        <v>37948.830163389532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Superior Court Services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8</v>
      </c>
      <c r="G92" s="35">
        <f>SUMIFS(WORKING!$AC$3:$AC$6802,WORKING!$A$3:$A$6802,Results!$D$3,WORKING!$B$3:$B$6802,Results!A92,WORKING!$C$3:$C$6802,Results!C92)/1000</f>
        <v>222.81843000000001</v>
      </c>
      <c r="H92" s="35">
        <f>IFERROR(G92/F92,0)</f>
        <v>27.852303750000001</v>
      </c>
      <c r="I92" s="156" t="s">
        <v>754</v>
      </c>
      <c r="J92" s="211">
        <v>410</v>
      </c>
      <c r="K92" s="217">
        <f>IFERROR(IF(J92="",G92,J92)/IF(I92="",F92,I92),"")</f>
        <v>51.25</v>
      </c>
      <c r="L92" s="34">
        <f t="shared" ref="L92:L111" si="102">IF(I92="",F92,I92)</f>
        <v>8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55.971244356602369</v>
      </c>
      <c r="N92" s="57">
        <v>0</v>
      </c>
      <c r="O92" s="57">
        <v>0</v>
      </c>
      <c r="P92" s="61">
        <f t="shared" ref="P92:P111" si="103">-O92+L92+N92</f>
        <v>8</v>
      </c>
      <c r="Q92" s="40">
        <f>M92*N92</f>
        <v>0</v>
      </c>
      <c r="R92" s="40">
        <f>-M92*O92</f>
        <v>0</v>
      </c>
      <c r="S92" s="44">
        <f>M92*P92</f>
        <v>447.76995485281896</v>
      </c>
      <c r="T92" s="35">
        <f>P92</f>
        <v>8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60.786559225031233</v>
      </c>
      <c r="V92" s="57">
        <v>0</v>
      </c>
      <c r="W92" s="57">
        <v>0</v>
      </c>
      <c r="X92" s="61">
        <f t="shared" ref="X92:X111" si="104">-W92+T92+V92</f>
        <v>8</v>
      </c>
      <c r="Y92" s="40">
        <f>U92*V92</f>
        <v>0</v>
      </c>
      <c r="Z92" s="40">
        <f>-U92*W92</f>
        <v>0</v>
      </c>
      <c r="AA92" s="44">
        <f>U92*X92</f>
        <v>486.29247380024987</v>
      </c>
      <c r="AB92" s="35">
        <f>X92</f>
        <v>8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65.954447652915306</v>
      </c>
      <c r="AD92" s="57">
        <v>0</v>
      </c>
      <c r="AE92" s="57">
        <v>6</v>
      </c>
      <c r="AF92" s="61">
        <f t="shared" ref="AF92:AF111" si="105">-AE92+AB92+AD92</f>
        <v>2</v>
      </c>
      <c r="AG92" s="40">
        <f>AC92*AD92</f>
        <v>0</v>
      </c>
      <c r="AH92" s="40">
        <f>-AC92*AE92</f>
        <v>-395.72668591749186</v>
      </c>
      <c r="AI92" s="44">
        <f>AC92*AF92</f>
        <v>131.90889530583061</v>
      </c>
      <c r="AJ92" s="35">
        <f t="shared" ref="AJ92:AJ111" si="106">AF92</f>
        <v>2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71.427808938020263</v>
      </c>
      <c r="AL92" s="57">
        <v>0</v>
      </c>
      <c r="AM92" s="57">
        <v>0</v>
      </c>
      <c r="AN92" s="61">
        <f t="shared" ref="AN92:AN111" si="107">-AM92+AJ92+AL92</f>
        <v>2</v>
      </c>
      <c r="AO92" s="40">
        <f>AK92*AL92</f>
        <v>0</v>
      </c>
      <c r="AP92" s="40">
        <f>-AK92*AM92</f>
        <v>0</v>
      </c>
      <c r="AQ92" s="44">
        <f>AK92*AN92</f>
        <v>142.85561787604053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171</v>
      </c>
      <c r="G94" s="35">
        <f>SUMIFS(WORKING!$AC$3:$AC$6802,WORKING!$A$3:$A$6802,Results!$D$3,WORKING!$B$3:$B$6802,Results!A94,WORKING!$C$3:$C$6802,Results!C94)/1000</f>
        <v>28645.122629999998</v>
      </c>
      <c r="H94" s="35">
        <f t="shared" si="108"/>
        <v>167.51533701754386</v>
      </c>
      <c r="I94" s="187">
        <v>227</v>
      </c>
      <c r="J94" s="212">
        <v>30418</v>
      </c>
      <c r="K94" s="217">
        <f t="shared" si="109"/>
        <v>134</v>
      </c>
      <c r="L94" s="34">
        <f t="shared" si="102"/>
        <v>227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145.45625354397154</v>
      </c>
      <c r="N94" s="57">
        <v>12</v>
      </c>
      <c r="O94" s="57">
        <v>0</v>
      </c>
      <c r="P94" s="61">
        <f t="shared" si="103"/>
        <v>239</v>
      </c>
      <c r="Q94" s="40">
        <f t="shared" si="110"/>
        <v>1745.4750425276584</v>
      </c>
      <c r="R94" s="40">
        <f t="shared" si="111"/>
        <v>0</v>
      </c>
      <c r="S94" s="44">
        <f t="shared" si="112"/>
        <v>34764.044597009197</v>
      </c>
      <c r="T94" s="35">
        <f t="shared" si="113"/>
        <v>239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157.69622708776924</v>
      </c>
      <c r="V94" s="57">
        <v>0</v>
      </c>
      <c r="W94" s="57">
        <v>0</v>
      </c>
      <c r="X94" s="61">
        <f t="shared" si="104"/>
        <v>239</v>
      </c>
      <c r="Y94" s="40">
        <f t="shared" si="114"/>
        <v>0</v>
      </c>
      <c r="Z94" s="40">
        <f t="shared" si="115"/>
        <v>0</v>
      </c>
      <c r="AA94" s="44">
        <f t="shared" si="116"/>
        <v>37689.398273976847</v>
      </c>
      <c r="AB94" s="35">
        <f t="shared" si="117"/>
        <v>239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170.80649135699051</v>
      </c>
      <c r="AD94" s="57">
        <v>0</v>
      </c>
      <c r="AE94" s="57">
        <v>0</v>
      </c>
      <c r="AF94" s="61">
        <f t="shared" si="105"/>
        <v>239</v>
      </c>
      <c r="AG94" s="40">
        <f t="shared" si="118"/>
        <v>0</v>
      </c>
      <c r="AH94" s="40">
        <f t="shared" si="119"/>
        <v>0</v>
      </c>
      <c r="AI94" s="44">
        <f t="shared" si="120"/>
        <v>40822.751434320729</v>
      </c>
      <c r="AJ94" s="35">
        <f t="shared" si="106"/>
        <v>239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184.66076383170579</v>
      </c>
      <c r="AL94" s="57">
        <v>0</v>
      </c>
      <c r="AM94" s="57">
        <v>0</v>
      </c>
      <c r="AN94" s="61">
        <f t="shared" si="107"/>
        <v>239</v>
      </c>
      <c r="AO94" s="40">
        <f t="shared" si="121"/>
        <v>0</v>
      </c>
      <c r="AP94" s="40">
        <f t="shared" si="122"/>
        <v>0</v>
      </c>
      <c r="AQ94" s="44">
        <f t="shared" si="123"/>
        <v>44133.922555777688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57</v>
      </c>
      <c r="G95" s="35">
        <f>SUMIFS(WORKING!$AC$3:$AC$6802,WORKING!$A$3:$A$6802,Results!$D$3,WORKING!$B$3:$B$6802,Results!A95,WORKING!$C$3:$C$6802,Results!C95)/1000</f>
        <v>11742.512569999997</v>
      </c>
      <c r="H95" s="35">
        <f t="shared" si="108"/>
        <v>206.00899245614031</v>
      </c>
      <c r="I95" s="187">
        <v>83</v>
      </c>
      <c r="J95" s="212">
        <v>13363</v>
      </c>
      <c r="K95" s="217">
        <f t="shared" si="109"/>
        <v>161</v>
      </c>
      <c r="L95" s="34">
        <f t="shared" si="102"/>
        <v>83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174.91707048109086</v>
      </c>
      <c r="N95" s="57">
        <v>5</v>
      </c>
      <c r="O95" s="57">
        <v>0</v>
      </c>
      <c r="P95" s="61">
        <f t="shared" si="103"/>
        <v>88</v>
      </c>
      <c r="Q95" s="40">
        <f t="shared" si="110"/>
        <v>874.58535240545427</v>
      </c>
      <c r="R95" s="40">
        <f t="shared" si="111"/>
        <v>0</v>
      </c>
      <c r="S95" s="44">
        <f t="shared" si="112"/>
        <v>15392.702202335995</v>
      </c>
      <c r="T95" s="35">
        <f t="shared" si="113"/>
        <v>88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189.68380189203648</v>
      </c>
      <c r="V95" s="57">
        <v>0</v>
      </c>
      <c r="W95" s="57">
        <v>0</v>
      </c>
      <c r="X95" s="61">
        <f t="shared" si="104"/>
        <v>88</v>
      </c>
      <c r="Y95" s="40">
        <f t="shared" si="114"/>
        <v>0</v>
      </c>
      <c r="Z95" s="40">
        <f t="shared" si="115"/>
        <v>0</v>
      </c>
      <c r="AA95" s="44">
        <f t="shared" si="116"/>
        <v>16692.174566499212</v>
      </c>
      <c r="AB95" s="35">
        <f t="shared" si="117"/>
        <v>88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205.50500695498943</v>
      </c>
      <c r="AD95" s="57">
        <v>0</v>
      </c>
      <c r="AE95" s="57">
        <v>0</v>
      </c>
      <c r="AF95" s="61">
        <f t="shared" si="105"/>
        <v>88</v>
      </c>
      <c r="AG95" s="40">
        <f t="shared" si="118"/>
        <v>0</v>
      </c>
      <c r="AH95" s="40">
        <f t="shared" si="119"/>
        <v>0</v>
      </c>
      <c r="AI95" s="44">
        <f t="shared" si="120"/>
        <v>18084.44061203907</v>
      </c>
      <c r="AJ95" s="35">
        <f t="shared" si="106"/>
        <v>88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222.22947073280014</v>
      </c>
      <c r="AL95" s="57">
        <v>0</v>
      </c>
      <c r="AM95" s="57">
        <v>0</v>
      </c>
      <c r="AN95" s="61">
        <f t="shared" si="107"/>
        <v>88</v>
      </c>
      <c r="AO95" s="40">
        <f t="shared" si="121"/>
        <v>0</v>
      </c>
      <c r="AP95" s="40">
        <f t="shared" si="122"/>
        <v>0</v>
      </c>
      <c r="AQ95" s="44">
        <f t="shared" si="123"/>
        <v>19556.193424486413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472</v>
      </c>
      <c r="G96" s="35">
        <f>SUMIFS(WORKING!$AC$3:$AC$6802,WORKING!$A$3:$A$6802,Results!$D$3,WORKING!$B$3:$B$6802,Results!A96,WORKING!$C$3:$C$6802,Results!C96)/1000</f>
        <v>97118.369369999986</v>
      </c>
      <c r="H96" s="35">
        <f t="shared" si="108"/>
        <v>205.75925713983048</v>
      </c>
      <c r="I96" s="187">
        <v>574</v>
      </c>
      <c r="J96" s="212">
        <v>111356</v>
      </c>
      <c r="K96" s="217">
        <f t="shared" si="109"/>
        <v>194</v>
      </c>
      <c r="L96" s="34">
        <f t="shared" si="102"/>
        <v>574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210.87845608746358</v>
      </c>
      <c r="N96" s="57">
        <v>6</v>
      </c>
      <c r="O96" s="57">
        <v>0</v>
      </c>
      <c r="P96" s="61">
        <f t="shared" si="103"/>
        <v>580</v>
      </c>
      <c r="Q96" s="40">
        <f t="shared" si="110"/>
        <v>1265.2707365247816</v>
      </c>
      <c r="R96" s="40">
        <f t="shared" si="111"/>
        <v>0</v>
      </c>
      <c r="S96" s="44">
        <f t="shared" si="112"/>
        <v>122309.50453072887</v>
      </c>
      <c r="T96" s="35">
        <f t="shared" si="113"/>
        <v>580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228.71471332748345</v>
      </c>
      <c r="V96" s="57">
        <v>8</v>
      </c>
      <c r="W96" s="57">
        <v>0</v>
      </c>
      <c r="X96" s="61">
        <f t="shared" si="104"/>
        <v>588</v>
      </c>
      <c r="Y96" s="40">
        <f t="shared" si="114"/>
        <v>1829.7177066198676</v>
      </c>
      <c r="Z96" s="40">
        <f t="shared" si="115"/>
        <v>0</v>
      </c>
      <c r="AA96" s="44">
        <f t="shared" si="116"/>
        <v>134484.25143656027</v>
      </c>
      <c r="AB96" s="35">
        <f t="shared" si="117"/>
        <v>588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247.82785090460251</v>
      </c>
      <c r="AD96" s="57">
        <v>0</v>
      </c>
      <c r="AE96" s="57">
        <v>6</v>
      </c>
      <c r="AF96" s="61">
        <f t="shared" si="105"/>
        <v>582</v>
      </c>
      <c r="AG96" s="40">
        <f t="shared" si="118"/>
        <v>0</v>
      </c>
      <c r="AH96" s="40">
        <f t="shared" si="119"/>
        <v>-1486.967105427615</v>
      </c>
      <c r="AI96" s="44">
        <f t="shared" si="120"/>
        <v>144235.80922647865</v>
      </c>
      <c r="AJ96" s="35">
        <f t="shared" si="106"/>
        <v>582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268.03605094282983</v>
      </c>
      <c r="AL96" s="57">
        <v>0</v>
      </c>
      <c r="AM96" s="57">
        <v>0</v>
      </c>
      <c r="AN96" s="61">
        <f t="shared" si="107"/>
        <v>582</v>
      </c>
      <c r="AO96" s="40">
        <f t="shared" si="121"/>
        <v>0</v>
      </c>
      <c r="AP96" s="40">
        <f t="shared" si="122"/>
        <v>0</v>
      </c>
      <c r="AQ96" s="44">
        <f t="shared" si="123"/>
        <v>155996.98164872697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59</v>
      </c>
      <c r="G97" s="35">
        <f>SUMIFS(WORKING!$AC$3:$AC$6802,WORKING!$A$3:$A$6802,Results!$D$3,WORKING!$B$3:$B$6802,Results!A97,WORKING!$C$3:$C$6802,Results!C97)/1000</f>
        <v>16700.200839999998</v>
      </c>
      <c r="H97" s="35">
        <f t="shared" si="108"/>
        <v>283.05425152542369</v>
      </c>
      <c r="I97" s="187">
        <v>61</v>
      </c>
      <c r="J97" s="212">
        <v>14945</v>
      </c>
      <c r="K97" s="217">
        <f t="shared" si="109"/>
        <v>245</v>
      </c>
      <c r="L97" s="34">
        <f t="shared" si="102"/>
        <v>61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266.63194284214933</v>
      </c>
      <c r="N97" s="57">
        <v>0</v>
      </c>
      <c r="O97" s="57">
        <v>3</v>
      </c>
      <c r="P97" s="61">
        <f t="shared" si="103"/>
        <v>58</v>
      </c>
      <c r="Q97" s="40">
        <f t="shared" si="110"/>
        <v>0</v>
      </c>
      <c r="R97" s="40">
        <f t="shared" si="111"/>
        <v>-799.89582852644799</v>
      </c>
      <c r="S97" s="44">
        <f t="shared" si="112"/>
        <v>15464.652684844661</v>
      </c>
      <c r="T97" s="35">
        <f t="shared" si="113"/>
        <v>58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289.28199885566227</v>
      </c>
      <c r="V97" s="57">
        <v>0</v>
      </c>
      <c r="W97" s="57">
        <v>0</v>
      </c>
      <c r="X97" s="61">
        <f t="shared" si="104"/>
        <v>58</v>
      </c>
      <c r="Y97" s="40">
        <f t="shared" si="114"/>
        <v>0</v>
      </c>
      <c r="Z97" s="40">
        <f t="shared" si="115"/>
        <v>0</v>
      </c>
      <c r="AA97" s="44">
        <f t="shared" si="116"/>
        <v>16778.355933628412</v>
      </c>
      <c r="AB97" s="35">
        <f t="shared" si="117"/>
        <v>58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313.56295067061211</v>
      </c>
      <c r="AD97" s="57">
        <v>0</v>
      </c>
      <c r="AE97" s="57">
        <v>0</v>
      </c>
      <c r="AF97" s="61">
        <f t="shared" si="105"/>
        <v>58</v>
      </c>
      <c r="AG97" s="40">
        <f t="shared" si="118"/>
        <v>0</v>
      </c>
      <c r="AH97" s="40">
        <f t="shared" si="119"/>
        <v>0</v>
      </c>
      <c r="AI97" s="44">
        <f t="shared" si="120"/>
        <v>18186.651138895504</v>
      </c>
      <c r="AJ97" s="35">
        <f t="shared" si="106"/>
        <v>58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339.24631316199782</v>
      </c>
      <c r="AL97" s="57">
        <v>0</v>
      </c>
      <c r="AM97" s="57">
        <v>0</v>
      </c>
      <c r="AN97" s="61">
        <f t="shared" si="107"/>
        <v>58</v>
      </c>
      <c r="AO97" s="40">
        <f t="shared" si="121"/>
        <v>0</v>
      </c>
      <c r="AP97" s="40">
        <f t="shared" si="122"/>
        <v>0</v>
      </c>
      <c r="AQ97" s="44">
        <f t="shared" si="123"/>
        <v>19676.286163395875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335</v>
      </c>
      <c r="G98" s="35">
        <f>SUMIFS(WORKING!$AC$3:$AC$6802,WORKING!$A$3:$A$6802,Results!$D$3,WORKING!$B$3:$B$6802,Results!A98,WORKING!$C$3:$C$6802,Results!C98)/1000</f>
        <v>105971.10653999999</v>
      </c>
      <c r="H98" s="35">
        <f t="shared" si="108"/>
        <v>316.33166131343279</v>
      </c>
      <c r="I98" s="187">
        <v>383</v>
      </c>
      <c r="J98" s="212">
        <v>108389</v>
      </c>
      <c r="K98" s="217">
        <f t="shared" si="109"/>
        <v>283</v>
      </c>
      <c r="L98" s="34">
        <f t="shared" si="102"/>
        <v>383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308.37221540354949</v>
      </c>
      <c r="N98" s="57">
        <v>34</v>
      </c>
      <c r="O98" s="57">
        <v>0</v>
      </c>
      <c r="P98" s="61">
        <f t="shared" si="103"/>
        <v>417</v>
      </c>
      <c r="Q98" s="40">
        <f t="shared" si="110"/>
        <v>10484.655323720683</v>
      </c>
      <c r="R98" s="40">
        <f t="shared" si="111"/>
        <v>0</v>
      </c>
      <c r="S98" s="44">
        <f t="shared" si="112"/>
        <v>128591.21382328014</v>
      </c>
      <c r="T98" s="35">
        <f t="shared" si="113"/>
        <v>417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334.68787927966417</v>
      </c>
      <c r="V98" s="57">
        <v>18</v>
      </c>
      <c r="W98" s="57">
        <v>0</v>
      </c>
      <c r="X98" s="61">
        <f t="shared" si="104"/>
        <v>435</v>
      </c>
      <c r="Y98" s="40">
        <f t="shared" si="114"/>
        <v>6024.3818270339552</v>
      </c>
      <c r="Z98" s="40">
        <f t="shared" si="115"/>
        <v>0</v>
      </c>
      <c r="AA98" s="44">
        <f t="shared" si="116"/>
        <v>145589.22748665392</v>
      </c>
      <c r="AB98" s="35">
        <f t="shared" si="117"/>
        <v>435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362.90986995483928</v>
      </c>
      <c r="AD98" s="57">
        <v>0</v>
      </c>
      <c r="AE98" s="57">
        <v>11</v>
      </c>
      <c r="AF98" s="61">
        <f t="shared" si="105"/>
        <v>424</v>
      </c>
      <c r="AG98" s="40">
        <f t="shared" si="118"/>
        <v>0</v>
      </c>
      <c r="AH98" s="40">
        <f t="shared" si="119"/>
        <v>-3992.0085695032321</v>
      </c>
      <c r="AI98" s="44">
        <f t="shared" si="120"/>
        <v>153873.78486085185</v>
      </c>
      <c r="AJ98" s="35">
        <f t="shared" si="106"/>
        <v>424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392.77563297054297</v>
      </c>
      <c r="AL98" s="57">
        <v>0</v>
      </c>
      <c r="AM98" s="57">
        <v>0</v>
      </c>
      <c r="AN98" s="61">
        <f t="shared" si="107"/>
        <v>424</v>
      </c>
      <c r="AO98" s="40">
        <f t="shared" si="121"/>
        <v>0</v>
      </c>
      <c r="AP98" s="40">
        <f t="shared" si="122"/>
        <v>0</v>
      </c>
      <c r="AQ98" s="44">
        <f t="shared" si="123"/>
        <v>166536.86837951021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27</v>
      </c>
      <c r="G99" s="35">
        <f>SUMIFS(WORKING!$AC$3:$AC$6802,WORKING!$A$3:$A$6802,Results!$D$3,WORKING!$B$3:$B$6802,Results!A99,WORKING!$C$3:$C$6802,Results!C99)/1000</f>
        <v>11920.24158</v>
      </c>
      <c r="H99" s="35">
        <f t="shared" si="108"/>
        <v>441.49042888888886</v>
      </c>
      <c r="I99" s="187">
        <v>39</v>
      </c>
      <c r="J99" s="212">
        <v>12948</v>
      </c>
      <c r="K99" s="217">
        <f t="shared" si="109"/>
        <v>332</v>
      </c>
      <c r="L99" s="34">
        <f t="shared" si="102"/>
        <v>39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361.57304917305163</v>
      </c>
      <c r="N99" s="57">
        <v>22</v>
      </c>
      <c r="O99" s="57">
        <v>0</v>
      </c>
      <c r="P99" s="61">
        <f t="shared" si="103"/>
        <v>61</v>
      </c>
      <c r="Q99" s="40">
        <f t="shared" si="110"/>
        <v>7954.6070818071357</v>
      </c>
      <c r="R99" s="40">
        <f t="shared" si="111"/>
        <v>0</v>
      </c>
      <c r="S99" s="44">
        <f t="shared" si="112"/>
        <v>22055.95599955615</v>
      </c>
      <c r="T99" s="35">
        <f t="shared" si="113"/>
        <v>61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392.36980467650665</v>
      </c>
      <c r="V99" s="57">
        <v>0</v>
      </c>
      <c r="W99" s="57">
        <v>0</v>
      </c>
      <c r="X99" s="61">
        <f t="shared" si="104"/>
        <v>61</v>
      </c>
      <c r="Y99" s="40">
        <f t="shared" si="114"/>
        <v>0</v>
      </c>
      <c r="Z99" s="40">
        <f t="shared" si="115"/>
        <v>0</v>
      </c>
      <c r="AA99" s="44">
        <f t="shared" si="116"/>
        <v>23934.558085266905</v>
      </c>
      <c r="AB99" s="35">
        <f t="shared" si="117"/>
        <v>61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425.39183098717137</v>
      </c>
      <c r="AD99" s="57">
        <v>0</v>
      </c>
      <c r="AE99" s="57">
        <v>0</v>
      </c>
      <c r="AF99" s="61">
        <f t="shared" si="105"/>
        <v>61</v>
      </c>
      <c r="AG99" s="40">
        <f t="shared" si="118"/>
        <v>0</v>
      </c>
      <c r="AH99" s="40">
        <f t="shared" si="119"/>
        <v>0</v>
      </c>
      <c r="AI99" s="44">
        <f t="shared" si="120"/>
        <v>25948.901690217455</v>
      </c>
      <c r="AJ99" s="35">
        <f t="shared" si="106"/>
        <v>61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460.33039780014133</v>
      </c>
      <c r="AL99" s="57">
        <v>0</v>
      </c>
      <c r="AM99" s="57">
        <v>0</v>
      </c>
      <c r="AN99" s="61">
        <f t="shared" si="107"/>
        <v>61</v>
      </c>
      <c r="AO99" s="40">
        <f t="shared" si="121"/>
        <v>0</v>
      </c>
      <c r="AP99" s="40">
        <f t="shared" si="122"/>
        <v>0</v>
      </c>
      <c r="AQ99" s="44">
        <f t="shared" si="123"/>
        <v>28080.154265808622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103</v>
      </c>
      <c r="G100" s="35">
        <f>SUMIFS(WORKING!$AC$3:$AC$6802,WORKING!$A$3:$A$6802,Results!$D$3,WORKING!$B$3:$B$6802,Results!A100,WORKING!$C$3:$C$6802,Results!C100)/1000</f>
        <v>46982.732549999986</v>
      </c>
      <c r="H100" s="35">
        <f t="shared" si="108"/>
        <v>456.14303446601929</v>
      </c>
      <c r="I100" s="187">
        <v>125</v>
      </c>
      <c r="J100" s="212">
        <v>44625</v>
      </c>
      <c r="K100" s="217">
        <f t="shared" si="109"/>
        <v>357</v>
      </c>
      <c r="L100" s="34">
        <f t="shared" si="102"/>
        <v>125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389.29113625882684</v>
      </c>
      <c r="N100" s="57">
        <v>0</v>
      </c>
      <c r="O100" s="57">
        <v>0</v>
      </c>
      <c r="P100" s="61">
        <f t="shared" si="103"/>
        <v>125</v>
      </c>
      <c r="Q100" s="40">
        <f t="shared" si="110"/>
        <v>0</v>
      </c>
      <c r="R100" s="40">
        <f t="shared" si="111"/>
        <v>0</v>
      </c>
      <c r="S100" s="44">
        <f t="shared" si="112"/>
        <v>48661.392032353353</v>
      </c>
      <c r="T100" s="35">
        <f t="shared" si="113"/>
        <v>125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422.60140824362503</v>
      </c>
      <c r="V100" s="57">
        <v>7</v>
      </c>
      <c r="W100" s="57">
        <v>0</v>
      </c>
      <c r="X100" s="61">
        <f t="shared" si="104"/>
        <v>132</v>
      </c>
      <c r="Y100" s="40">
        <f t="shared" si="114"/>
        <v>2958.2098577053753</v>
      </c>
      <c r="Z100" s="40">
        <f t="shared" si="115"/>
        <v>0</v>
      </c>
      <c r="AA100" s="44">
        <f t="shared" si="116"/>
        <v>55783.385888158504</v>
      </c>
      <c r="AB100" s="35">
        <f t="shared" si="117"/>
        <v>132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458.33325042258639</v>
      </c>
      <c r="AD100" s="57">
        <v>0</v>
      </c>
      <c r="AE100" s="57">
        <v>5</v>
      </c>
      <c r="AF100" s="61">
        <f t="shared" si="105"/>
        <v>127</v>
      </c>
      <c r="AG100" s="40">
        <f t="shared" si="118"/>
        <v>0</v>
      </c>
      <c r="AH100" s="40">
        <f t="shared" si="119"/>
        <v>-2291.6662521129319</v>
      </c>
      <c r="AI100" s="44">
        <f t="shared" si="120"/>
        <v>58208.322803668474</v>
      </c>
      <c r="AJ100" s="35">
        <f t="shared" si="106"/>
        <v>127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496.15646002573186</v>
      </c>
      <c r="AL100" s="57">
        <v>0</v>
      </c>
      <c r="AM100" s="57">
        <v>0</v>
      </c>
      <c r="AN100" s="61">
        <f t="shared" si="107"/>
        <v>127</v>
      </c>
      <c r="AO100" s="40">
        <f t="shared" si="121"/>
        <v>0</v>
      </c>
      <c r="AP100" s="40">
        <f t="shared" si="122"/>
        <v>0</v>
      </c>
      <c r="AQ100" s="44">
        <f t="shared" si="123"/>
        <v>63011.870423267945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10</v>
      </c>
      <c r="G101" s="35">
        <f>SUMIFS(WORKING!$AC$3:$AC$6802,WORKING!$A$3:$A$6802,Results!$D$3,WORKING!$B$3:$B$6802,Results!A101,WORKING!$C$3:$C$6802,Results!C101)/1000</f>
        <v>5787.8244399999994</v>
      </c>
      <c r="H101" s="35">
        <f t="shared" si="108"/>
        <v>578.78244399999994</v>
      </c>
      <c r="I101" s="187">
        <v>14</v>
      </c>
      <c r="J101" s="212">
        <v>5656</v>
      </c>
      <c r="K101" s="217">
        <f t="shared" si="109"/>
        <v>404</v>
      </c>
      <c r="L101" s="34">
        <f t="shared" si="102"/>
        <v>14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440.52994859929339</v>
      </c>
      <c r="N101" s="57">
        <v>13</v>
      </c>
      <c r="O101" s="57">
        <v>0</v>
      </c>
      <c r="P101" s="61">
        <f t="shared" si="103"/>
        <v>27</v>
      </c>
      <c r="Q101" s="40">
        <f t="shared" si="110"/>
        <v>5726.8893317908141</v>
      </c>
      <c r="R101" s="40">
        <f t="shared" si="111"/>
        <v>0</v>
      </c>
      <c r="S101" s="44">
        <f t="shared" si="112"/>
        <v>11894.308612180921</v>
      </c>
      <c r="T101" s="35">
        <f t="shared" si="113"/>
        <v>27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478.22011325261025</v>
      </c>
      <c r="V101" s="57">
        <v>0</v>
      </c>
      <c r="W101" s="57">
        <v>0</v>
      </c>
      <c r="X101" s="61">
        <f t="shared" si="104"/>
        <v>27</v>
      </c>
      <c r="Y101" s="40">
        <f t="shared" si="114"/>
        <v>0</v>
      </c>
      <c r="Z101" s="40">
        <f t="shared" si="115"/>
        <v>0</v>
      </c>
      <c r="AA101" s="44">
        <f t="shared" si="116"/>
        <v>12911.943057820477</v>
      </c>
      <c r="AB101" s="35">
        <f t="shared" si="117"/>
        <v>27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518.64986937902529</v>
      </c>
      <c r="AD101" s="57">
        <v>0</v>
      </c>
      <c r="AE101" s="57">
        <v>1</v>
      </c>
      <c r="AF101" s="61">
        <f t="shared" si="105"/>
        <v>26</v>
      </c>
      <c r="AG101" s="40">
        <f t="shared" si="118"/>
        <v>0</v>
      </c>
      <c r="AH101" s="40">
        <f t="shared" si="119"/>
        <v>-518.64986937902529</v>
      </c>
      <c r="AI101" s="44">
        <f t="shared" si="120"/>
        <v>13484.896603854657</v>
      </c>
      <c r="AJ101" s="35">
        <f t="shared" si="106"/>
        <v>26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561.44554259142808</v>
      </c>
      <c r="AL101" s="57">
        <v>0</v>
      </c>
      <c r="AM101" s="57">
        <v>0</v>
      </c>
      <c r="AN101" s="61">
        <f t="shared" si="107"/>
        <v>26</v>
      </c>
      <c r="AO101" s="40">
        <f t="shared" si="121"/>
        <v>0</v>
      </c>
      <c r="AP101" s="40">
        <f t="shared" si="122"/>
        <v>0</v>
      </c>
      <c r="AQ101" s="44">
        <f t="shared" si="123"/>
        <v>14597.58410737713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27</v>
      </c>
      <c r="G102" s="35">
        <f>SUMIFS(WORKING!$AC$3:$AC$6802,WORKING!$A$3:$A$6802,Results!$D$3,WORKING!$B$3:$B$6802,Results!A102,WORKING!$C$3:$C$6802,Results!C102)/1000</f>
        <v>16734.283239999997</v>
      </c>
      <c r="H102" s="35">
        <f t="shared" si="108"/>
        <v>619.78826814814806</v>
      </c>
      <c r="I102" s="187">
        <v>28</v>
      </c>
      <c r="J102" s="212">
        <v>17136</v>
      </c>
      <c r="K102" s="217">
        <f t="shared" si="109"/>
        <v>612</v>
      </c>
      <c r="L102" s="34">
        <f t="shared" si="102"/>
        <v>28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668.09971903580924</v>
      </c>
      <c r="N102" s="57">
        <v>0</v>
      </c>
      <c r="O102" s="57">
        <v>2</v>
      </c>
      <c r="P102" s="61">
        <f t="shared" si="103"/>
        <v>26</v>
      </c>
      <c r="Q102" s="40">
        <f t="shared" si="110"/>
        <v>0</v>
      </c>
      <c r="R102" s="40">
        <f t="shared" si="111"/>
        <v>-1336.1994380716185</v>
      </c>
      <c r="S102" s="44">
        <f t="shared" si="112"/>
        <v>17370.592694931041</v>
      </c>
      <c r="T102" s="35">
        <f t="shared" si="113"/>
        <v>26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725.27492436892294</v>
      </c>
      <c r="V102" s="57">
        <v>4</v>
      </c>
      <c r="W102" s="57">
        <v>0</v>
      </c>
      <c r="X102" s="61">
        <f t="shared" si="104"/>
        <v>30</v>
      </c>
      <c r="Y102" s="40">
        <f t="shared" si="114"/>
        <v>2901.0996974756918</v>
      </c>
      <c r="Z102" s="40">
        <f t="shared" si="115"/>
        <v>0</v>
      </c>
      <c r="AA102" s="44">
        <f t="shared" si="116"/>
        <v>21758.247731067688</v>
      </c>
      <c r="AB102" s="35">
        <f t="shared" si="117"/>
        <v>30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786.60728330694394</v>
      </c>
      <c r="AD102" s="57">
        <v>0</v>
      </c>
      <c r="AE102" s="57">
        <v>2</v>
      </c>
      <c r="AF102" s="61">
        <f t="shared" si="105"/>
        <v>28</v>
      </c>
      <c r="AG102" s="40">
        <f t="shared" si="118"/>
        <v>0</v>
      </c>
      <c r="AH102" s="40">
        <f t="shared" si="119"/>
        <v>-1573.2145666138879</v>
      </c>
      <c r="AI102" s="44">
        <f t="shared" si="120"/>
        <v>22025.003932594431</v>
      </c>
      <c r="AJ102" s="35">
        <f t="shared" si="106"/>
        <v>28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851.53004956903749</v>
      </c>
      <c r="AL102" s="57">
        <v>0</v>
      </c>
      <c r="AM102" s="57">
        <v>0</v>
      </c>
      <c r="AN102" s="61">
        <f t="shared" si="107"/>
        <v>28</v>
      </c>
      <c r="AO102" s="40">
        <f t="shared" si="121"/>
        <v>0</v>
      </c>
      <c r="AP102" s="40">
        <f t="shared" si="122"/>
        <v>0</v>
      </c>
      <c r="AQ102" s="44">
        <f t="shared" si="123"/>
        <v>23842.841387933051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15</v>
      </c>
      <c r="G103" s="35">
        <f>SUMIFS(WORKING!$AC$3:$AC$6802,WORKING!$A$3:$A$6802,Results!$D$3,WORKING!$B$3:$B$6802,Results!A103,WORKING!$C$3:$C$6802,Results!C103)/1000</f>
        <v>10462.427519999999</v>
      </c>
      <c r="H103" s="35">
        <f t="shared" si="108"/>
        <v>697.49516799999992</v>
      </c>
      <c r="I103" s="187">
        <v>6</v>
      </c>
      <c r="J103" s="212">
        <v>4476</v>
      </c>
      <c r="K103" s="217">
        <f t="shared" si="109"/>
        <v>746</v>
      </c>
      <c r="L103" s="34">
        <f t="shared" si="102"/>
        <v>6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814.31585995419437</v>
      </c>
      <c r="N103" s="57">
        <v>19</v>
      </c>
      <c r="O103" s="57">
        <v>0</v>
      </c>
      <c r="P103" s="61">
        <f t="shared" si="103"/>
        <v>25</v>
      </c>
      <c r="Q103" s="40">
        <f t="shared" si="110"/>
        <v>15472.001339129692</v>
      </c>
      <c r="R103" s="40">
        <f t="shared" si="111"/>
        <v>0</v>
      </c>
      <c r="S103" s="44">
        <f t="shared" si="112"/>
        <v>20357.896498854858</v>
      </c>
      <c r="T103" s="35">
        <f t="shared" si="113"/>
        <v>25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883.93120453701636</v>
      </c>
      <c r="V103" s="57">
        <v>0</v>
      </c>
      <c r="W103" s="57">
        <v>0</v>
      </c>
      <c r="X103" s="61">
        <f t="shared" si="104"/>
        <v>25</v>
      </c>
      <c r="Y103" s="40">
        <f t="shared" si="114"/>
        <v>0</v>
      </c>
      <c r="Z103" s="40">
        <f t="shared" si="115"/>
        <v>0</v>
      </c>
      <c r="AA103" s="44">
        <f t="shared" si="116"/>
        <v>22098.280113425408</v>
      </c>
      <c r="AB103" s="35">
        <f t="shared" si="117"/>
        <v>25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958.60119359178054</v>
      </c>
      <c r="AD103" s="57">
        <v>0</v>
      </c>
      <c r="AE103" s="57">
        <v>0</v>
      </c>
      <c r="AF103" s="61">
        <f t="shared" si="105"/>
        <v>25</v>
      </c>
      <c r="AG103" s="40">
        <f t="shared" si="118"/>
        <v>0</v>
      </c>
      <c r="AH103" s="40">
        <f t="shared" si="119"/>
        <v>0</v>
      </c>
      <c r="AI103" s="44">
        <f t="shared" si="120"/>
        <v>23965.029839794515</v>
      </c>
      <c r="AJ103" s="35">
        <f t="shared" si="106"/>
        <v>25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1037.6339656841021</v>
      </c>
      <c r="AL103" s="57">
        <v>0</v>
      </c>
      <c r="AM103" s="57">
        <v>0</v>
      </c>
      <c r="AN103" s="61">
        <f t="shared" si="107"/>
        <v>25</v>
      </c>
      <c r="AO103" s="40">
        <f t="shared" si="121"/>
        <v>0</v>
      </c>
      <c r="AP103" s="40">
        <f t="shared" si="122"/>
        <v>0</v>
      </c>
      <c r="AQ103" s="44">
        <f t="shared" si="123"/>
        <v>25940.849142102554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11</v>
      </c>
      <c r="G104" s="35">
        <f>SUMIFS(WORKING!$AC$3:$AC$6802,WORKING!$A$3:$A$6802,Results!$D$3,WORKING!$B$3:$B$6802,Results!A104,WORKING!$C$3:$C$6802,Results!C104)/1000</f>
        <v>10880.736709999999</v>
      </c>
      <c r="H104" s="35">
        <f t="shared" si="108"/>
        <v>989.15788272727264</v>
      </c>
      <c r="I104" s="187">
        <v>11</v>
      </c>
      <c r="J104" s="212">
        <v>10538</v>
      </c>
      <c r="K104" s="217">
        <f t="shared" si="109"/>
        <v>958</v>
      </c>
      <c r="L104" s="34">
        <f t="shared" si="102"/>
        <v>11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1003.8339816086794</v>
      </c>
      <c r="N104" s="57">
        <v>0</v>
      </c>
      <c r="O104" s="57">
        <v>0</v>
      </c>
      <c r="P104" s="61">
        <f t="shared" si="103"/>
        <v>11</v>
      </c>
      <c r="Q104" s="40">
        <f t="shared" si="110"/>
        <v>0</v>
      </c>
      <c r="R104" s="40">
        <f t="shared" si="111"/>
        <v>0</v>
      </c>
      <c r="S104" s="44">
        <f t="shared" si="112"/>
        <v>11042.173797695474</v>
      </c>
      <c r="T104" s="35">
        <f t="shared" si="113"/>
        <v>11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1079.3537908621693</v>
      </c>
      <c r="V104" s="57">
        <v>1</v>
      </c>
      <c r="W104" s="57">
        <v>0</v>
      </c>
      <c r="X104" s="61">
        <f t="shared" si="104"/>
        <v>12</v>
      </c>
      <c r="Y104" s="40">
        <f t="shared" si="114"/>
        <v>1079.3537908621693</v>
      </c>
      <c r="Z104" s="40">
        <f t="shared" si="115"/>
        <v>0</v>
      </c>
      <c r="AA104" s="44">
        <f t="shared" si="116"/>
        <v>12952.245490346031</v>
      </c>
      <c r="AB104" s="35">
        <f t="shared" si="117"/>
        <v>12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1159.4601958328028</v>
      </c>
      <c r="AD104" s="57">
        <v>0</v>
      </c>
      <c r="AE104" s="57">
        <v>1</v>
      </c>
      <c r="AF104" s="61">
        <f t="shared" si="105"/>
        <v>11</v>
      </c>
      <c r="AG104" s="40">
        <f t="shared" si="118"/>
        <v>0</v>
      </c>
      <c r="AH104" s="40">
        <f t="shared" si="119"/>
        <v>-1159.4601958328028</v>
      </c>
      <c r="AI104" s="44">
        <f t="shared" si="120"/>
        <v>12754.062154160831</v>
      </c>
      <c r="AJ104" s="35">
        <f t="shared" si="106"/>
        <v>11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1243.1596167383448</v>
      </c>
      <c r="AL104" s="57">
        <v>0</v>
      </c>
      <c r="AM104" s="57">
        <v>0</v>
      </c>
      <c r="AN104" s="61">
        <f t="shared" si="107"/>
        <v>11</v>
      </c>
      <c r="AO104" s="40">
        <f t="shared" si="121"/>
        <v>0</v>
      </c>
      <c r="AP104" s="40">
        <f t="shared" si="122"/>
        <v>0</v>
      </c>
      <c r="AQ104" s="44">
        <f t="shared" si="123"/>
        <v>13674.755784121793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</v>
      </c>
      <c r="G105" s="35">
        <f>SUMIFS(WORKING!$AC$3:$AC$6802,WORKING!$A$3:$A$6802,Results!$D$3,WORKING!$B$3:$B$6802,Results!A105,WORKING!$C$3:$C$6802,Results!C105)/1000</f>
        <v>599.60397</v>
      </c>
      <c r="H105" s="35">
        <f t="shared" si="108"/>
        <v>599.60397</v>
      </c>
      <c r="I105" s="187">
        <v>1</v>
      </c>
      <c r="J105" s="212">
        <v>1047</v>
      </c>
      <c r="K105" s="217">
        <f t="shared" si="109"/>
        <v>1047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1097.5231575231021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1097.5231575231021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1180.5550604432422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1180.5550604432422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1268.6706610266451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1268.6706610266451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1360.7883208858918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1360.7883208858918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1173.5690099999999</v>
      </c>
      <c r="H106" s="35">
        <f t="shared" si="108"/>
        <v>1173.5690099999999</v>
      </c>
      <c r="I106" s="187">
        <v>1</v>
      </c>
      <c r="J106" s="212">
        <v>1133.1130000000001</v>
      </c>
      <c r="K106" s="217">
        <f t="shared" si="109"/>
        <v>1133.1130000000001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1186.5762938549283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1186.5762938549283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1275.0395510510202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1275.0395510510202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1368.8054965511756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1368.8054965511756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1466.6917583561763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1466.6917583561763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15241.190710000001</v>
      </c>
      <c r="H107" s="35">
        <f t="shared" si="108"/>
        <v>0</v>
      </c>
      <c r="I107" s="187" t="s">
        <v>754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>
        <v>0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1297</v>
      </c>
      <c r="G112" s="41">
        <f>SUM(G92:G111)</f>
        <v>380182.74011000001</v>
      </c>
      <c r="H112" s="41">
        <f>IFERROR(G112/F112,0)</f>
        <v>293.12470324595222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1561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376440.11300000001</v>
      </c>
      <c r="K112" s="41">
        <f>IFERROR(J112/I112,"")</f>
        <v>241.15317937219731</v>
      </c>
      <c r="L112" s="41">
        <f>SUM(L92:L111)</f>
        <v>1561</v>
      </c>
      <c r="M112" s="41">
        <f>IFERROR(S112/P112,0)</f>
        <v>270.32771858428407</v>
      </c>
      <c r="N112" s="41">
        <f t="shared" ref="N112:T112" si="124">SUM(N92:N111)</f>
        <v>111</v>
      </c>
      <c r="O112" s="41">
        <f t="shared" si="124"/>
        <v>5</v>
      </c>
      <c r="P112" s="41">
        <f t="shared" si="124"/>
        <v>1667</v>
      </c>
      <c r="Q112" s="41">
        <f t="shared" si="124"/>
        <v>43523.484207906222</v>
      </c>
      <c r="R112" s="41">
        <f t="shared" si="124"/>
        <v>-2136.0952665980667</v>
      </c>
      <c r="S112" s="45">
        <f t="shared" si="124"/>
        <v>450636.30688000156</v>
      </c>
      <c r="T112" s="41">
        <f t="shared" si="124"/>
        <v>1667</v>
      </c>
      <c r="U112" s="41">
        <f>IFERROR(AA112/X112,0)</f>
        <v>295.37475375290222</v>
      </c>
      <c r="V112" s="41">
        <f t="shared" ref="V112:AB112" si="125">SUM(V92:V111)</f>
        <v>38</v>
      </c>
      <c r="W112" s="41">
        <f t="shared" si="125"/>
        <v>0</v>
      </c>
      <c r="X112" s="41">
        <f t="shared" si="125"/>
        <v>1705</v>
      </c>
      <c r="Y112" s="41">
        <f t="shared" si="125"/>
        <v>14792.76287969706</v>
      </c>
      <c r="Z112" s="41">
        <f t="shared" si="125"/>
        <v>0</v>
      </c>
      <c r="AA112" s="45">
        <f t="shared" si="125"/>
        <v>503613.9551486983</v>
      </c>
      <c r="AB112" s="41">
        <f t="shared" si="125"/>
        <v>1705</v>
      </c>
      <c r="AC112" s="41">
        <f>IFERROR(AI112/AF112,0)</f>
        <v>319.40169716064543</v>
      </c>
      <c r="AD112" s="41">
        <f t="shared" ref="AD112:AJ112" si="126">SUM(AD92:AD111)</f>
        <v>0</v>
      </c>
      <c r="AE112" s="41">
        <f t="shared" si="126"/>
        <v>32</v>
      </c>
      <c r="AF112" s="41">
        <f t="shared" si="126"/>
        <v>1673</v>
      </c>
      <c r="AG112" s="41">
        <f t="shared" si="126"/>
        <v>0</v>
      </c>
      <c r="AH112" s="41">
        <f t="shared" si="126"/>
        <v>-11417.693244786986</v>
      </c>
      <c r="AI112" s="45">
        <f t="shared" si="126"/>
        <v>534359.03934975981</v>
      </c>
      <c r="AJ112" s="41">
        <f t="shared" si="126"/>
        <v>1673</v>
      </c>
      <c r="AK112" s="41">
        <f>IFERROR(AQ112/AN112,0)</f>
        <v>345.49829227712274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1673</v>
      </c>
      <c r="AO112" s="41">
        <f t="shared" si="127"/>
        <v>0</v>
      </c>
      <c r="AP112" s="41">
        <f t="shared" si="127"/>
        <v>0</v>
      </c>
      <c r="AQ112" s="45">
        <f t="shared" si="127"/>
        <v>578018.64297962631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434270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486410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510997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549832.772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-16366.306880001561</v>
      </c>
      <c r="T114" s="39"/>
      <c r="U114" s="39"/>
      <c r="V114" s="53"/>
      <c r="W114" s="53"/>
      <c r="X114" s="110"/>
      <c r="Y114" s="39"/>
      <c r="Z114" s="39"/>
      <c r="AA114" s="54">
        <f>AA113-AA112</f>
        <v>-17203.955148698296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-23362.039349759812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-28185.870979626314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Judicial Education and Support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2</v>
      </c>
      <c r="G120" s="35">
        <f>SUMIFS(WORKING!$AC$3:$AC$6802,WORKING!$A$3:$A$6802,Results!$D$3,WORKING!$B$3:$B$6802,Results!A120,WORKING!$C$3:$C$6802,Results!C120)/1000</f>
        <v>71.5702</v>
      </c>
      <c r="H120" s="35">
        <f>IFERROR(G120/F120,0)</f>
        <v>35.7851</v>
      </c>
      <c r="I120" s="156" t="s">
        <v>754</v>
      </c>
      <c r="J120" s="211">
        <v>264</v>
      </c>
      <c r="K120" s="217">
        <f>IFERROR(IF(J120="",G120,J120)/IF(I120="",F120,I120),"")</f>
        <v>132</v>
      </c>
      <c r="L120" s="34">
        <f t="shared" ref="L120:L139" si="128">IF(I120="",F120,I120)</f>
        <v>2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144.16143872597257</v>
      </c>
      <c r="N120" s="57">
        <v>0</v>
      </c>
      <c r="O120" s="57">
        <v>1</v>
      </c>
      <c r="P120" s="61">
        <f t="shared" ref="P120:P139" si="129">-O120+L120+N120</f>
        <v>1</v>
      </c>
      <c r="Q120" s="40">
        <f>M120*N120</f>
        <v>0</v>
      </c>
      <c r="R120" s="40">
        <f>-M120*O120</f>
        <v>-144.16143872597257</v>
      </c>
      <c r="S120" s="44">
        <f>M120*P120</f>
        <v>144.16143872597257</v>
      </c>
      <c r="T120" s="35">
        <f>P120</f>
        <v>1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156.56539966085322</v>
      </c>
      <c r="V120" s="57">
        <v>6</v>
      </c>
      <c r="W120" s="57">
        <v>0</v>
      </c>
      <c r="X120" s="61">
        <f t="shared" ref="X120:X139" si="130">-W120+T120+V120</f>
        <v>7</v>
      </c>
      <c r="Y120" s="40">
        <f>U120*V120</f>
        <v>939.39239796511924</v>
      </c>
      <c r="Z120" s="40">
        <f>-U120*W120</f>
        <v>0</v>
      </c>
      <c r="AA120" s="44">
        <f>U120*X120</f>
        <v>1095.9577976259725</v>
      </c>
      <c r="AB120" s="35">
        <f>X120</f>
        <v>7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169.87771139907036</v>
      </c>
      <c r="AD120" s="57">
        <v>0</v>
      </c>
      <c r="AE120" s="57">
        <v>7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-1189.1439797934925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183.97708197244862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1</v>
      </c>
      <c r="J124" s="212">
        <v>162</v>
      </c>
      <c r="K124" s="217">
        <f t="shared" si="135"/>
        <v>162</v>
      </c>
      <c r="L124" s="34">
        <f t="shared" si="128"/>
        <v>1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173.96008489237028</v>
      </c>
      <c r="N124" s="57">
        <v>3</v>
      </c>
      <c r="O124" s="57">
        <v>0</v>
      </c>
      <c r="P124" s="61">
        <f t="shared" si="129"/>
        <v>4</v>
      </c>
      <c r="Q124" s="40">
        <f t="shared" si="136"/>
        <v>521.88025467711077</v>
      </c>
      <c r="R124" s="40">
        <f t="shared" si="137"/>
        <v>0</v>
      </c>
      <c r="S124" s="44">
        <f t="shared" si="138"/>
        <v>695.8403395694811</v>
      </c>
      <c r="T124" s="35">
        <f t="shared" si="139"/>
        <v>4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186.14305225351481</v>
      </c>
      <c r="V124" s="57">
        <v>3</v>
      </c>
      <c r="W124" s="57">
        <v>0</v>
      </c>
      <c r="X124" s="61">
        <f t="shared" si="130"/>
        <v>7</v>
      </c>
      <c r="Y124" s="40">
        <f t="shared" si="140"/>
        <v>558.4291567605444</v>
      </c>
      <c r="Z124" s="40">
        <f t="shared" si="141"/>
        <v>0</v>
      </c>
      <c r="AA124" s="44">
        <f t="shared" si="142"/>
        <v>1303.0013657746038</v>
      </c>
      <c r="AB124" s="35">
        <f t="shared" si="143"/>
        <v>7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198.99308776780703</v>
      </c>
      <c r="AD124" s="57">
        <v>0</v>
      </c>
      <c r="AE124" s="57">
        <v>3</v>
      </c>
      <c r="AF124" s="61">
        <f t="shared" si="131"/>
        <v>4</v>
      </c>
      <c r="AG124" s="40">
        <f t="shared" si="144"/>
        <v>0</v>
      </c>
      <c r="AH124" s="40">
        <f t="shared" si="145"/>
        <v>-596.97926330342102</v>
      </c>
      <c r="AI124" s="44">
        <f t="shared" si="146"/>
        <v>795.9723510712281</v>
      </c>
      <c r="AJ124" s="35">
        <f t="shared" si="132"/>
        <v>4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212.33221513993382</v>
      </c>
      <c r="AL124" s="57">
        <v>0</v>
      </c>
      <c r="AM124" s="57">
        <v>0</v>
      </c>
      <c r="AN124" s="61">
        <f t="shared" si="133"/>
        <v>4</v>
      </c>
      <c r="AO124" s="40">
        <f t="shared" si="147"/>
        <v>0</v>
      </c>
      <c r="AP124" s="40">
        <f t="shared" si="148"/>
        <v>0</v>
      </c>
      <c r="AQ124" s="44">
        <f t="shared" si="149"/>
        <v>849.32886055973529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>
        <v>0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375.2627</v>
      </c>
      <c r="H126" s="35">
        <f t="shared" si="134"/>
        <v>375.2627</v>
      </c>
      <c r="I126" s="187">
        <v>2</v>
      </c>
      <c r="J126" s="212">
        <v>526</v>
      </c>
      <c r="K126" s="217">
        <f t="shared" si="135"/>
        <v>263</v>
      </c>
      <c r="L126" s="34">
        <f t="shared" si="128"/>
        <v>2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286.20385508286466</v>
      </c>
      <c r="N126" s="57">
        <v>5</v>
      </c>
      <c r="O126" s="57">
        <v>0</v>
      </c>
      <c r="P126" s="61">
        <f t="shared" si="129"/>
        <v>7</v>
      </c>
      <c r="Q126" s="40">
        <f t="shared" si="136"/>
        <v>1431.0192754143234</v>
      </c>
      <c r="R126" s="40">
        <f t="shared" si="137"/>
        <v>0</v>
      </c>
      <c r="S126" s="44">
        <f t="shared" si="138"/>
        <v>2003.4269855800526</v>
      </c>
      <c r="T126" s="35">
        <f t="shared" si="139"/>
        <v>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310.51127797749962</v>
      </c>
      <c r="V126" s="57">
        <v>0</v>
      </c>
      <c r="W126" s="57">
        <v>0</v>
      </c>
      <c r="X126" s="61">
        <f t="shared" si="130"/>
        <v>7</v>
      </c>
      <c r="Y126" s="40">
        <f t="shared" si="140"/>
        <v>0</v>
      </c>
      <c r="Z126" s="40">
        <f t="shared" si="141"/>
        <v>0</v>
      </c>
      <c r="AA126" s="44">
        <f t="shared" si="142"/>
        <v>2173.5789458424974</v>
      </c>
      <c r="AB126" s="35">
        <f t="shared" si="143"/>
        <v>7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336.56842443597958</v>
      </c>
      <c r="AD126" s="57">
        <v>0</v>
      </c>
      <c r="AE126" s="57">
        <v>0</v>
      </c>
      <c r="AF126" s="61">
        <f t="shared" si="131"/>
        <v>7</v>
      </c>
      <c r="AG126" s="40">
        <f t="shared" si="144"/>
        <v>0</v>
      </c>
      <c r="AH126" s="40">
        <f t="shared" si="145"/>
        <v>0</v>
      </c>
      <c r="AI126" s="44">
        <f t="shared" si="146"/>
        <v>2355.9789710518571</v>
      </c>
      <c r="AJ126" s="35">
        <f t="shared" si="132"/>
        <v>7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364.12995221498301</v>
      </c>
      <c r="AL126" s="57">
        <v>0</v>
      </c>
      <c r="AM126" s="57">
        <v>0</v>
      </c>
      <c r="AN126" s="61">
        <f t="shared" si="133"/>
        <v>7</v>
      </c>
      <c r="AO126" s="40">
        <f t="shared" si="147"/>
        <v>0</v>
      </c>
      <c r="AP126" s="40">
        <f t="shared" si="148"/>
        <v>0</v>
      </c>
      <c r="AQ126" s="44">
        <f t="shared" si="149"/>
        <v>2548.9096655048811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</v>
      </c>
      <c r="G127" s="35">
        <f>SUMIFS(WORKING!$AC$3:$AC$6802,WORKING!$A$3:$A$6802,Results!$D$3,WORKING!$B$3:$B$6802,Results!A127,WORKING!$C$3:$C$6802,Results!C127)/1000</f>
        <v>303.04196999999999</v>
      </c>
      <c r="H127" s="35">
        <f t="shared" si="134"/>
        <v>303.04196999999999</v>
      </c>
      <c r="I127" s="187">
        <v>2</v>
      </c>
      <c r="J127" s="212">
        <v>620</v>
      </c>
      <c r="K127" s="217">
        <f t="shared" si="135"/>
        <v>310</v>
      </c>
      <c r="L127" s="34">
        <f t="shared" si="128"/>
        <v>2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337.32933934335603</v>
      </c>
      <c r="N127" s="57">
        <v>1</v>
      </c>
      <c r="O127" s="57">
        <v>0</v>
      </c>
      <c r="P127" s="61">
        <f t="shared" si="129"/>
        <v>3</v>
      </c>
      <c r="Q127" s="40">
        <f t="shared" si="136"/>
        <v>337.32933934335603</v>
      </c>
      <c r="R127" s="40">
        <f t="shared" si="137"/>
        <v>0</v>
      </c>
      <c r="S127" s="44">
        <f t="shared" si="138"/>
        <v>1011.9880180300681</v>
      </c>
      <c r="T127" s="35">
        <f t="shared" si="139"/>
        <v>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365.97295900907613</v>
      </c>
      <c r="V127" s="57">
        <v>0</v>
      </c>
      <c r="W127" s="57">
        <v>0</v>
      </c>
      <c r="X127" s="61">
        <f t="shared" si="130"/>
        <v>3</v>
      </c>
      <c r="Y127" s="40">
        <f t="shared" si="140"/>
        <v>0</v>
      </c>
      <c r="Z127" s="40">
        <f t="shared" si="141"/>
        <v>0</v>
      </c>
      <c r="AA127" s="44">
        <f t="shared" si="142"/>
        <v>1097.9188770272285</v>
      </c>
      <c r="AB127" s="35">
        <f t="shared" si="143"/>
        <v>3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396.6778502998136</v>
      </c>
      <c r="AD127" s="57">
        <v>0</v>
      </c>
      <c r="AE127" s="57">
        <v>0</v>
      </c>
      <c r="AF127" s="61">
        <f t="shared" si="131"/>
        <v>3</v>
      </c>
      <c r="AG127" s="40">
        <f t="shared" si="144"/>
        <v>0</v>
      </c>
      <c r="AH127" s="40">
        <f t="shared" si="145"/>
        <v>0</v>
      </c>
      <c r="AI127" s="44">
        <f t="shared" si="146"/>
        <v>1190.0335508994408</v>
      </c>
      <c r="AJ127" s="35">
        <f t="shared" si="132"/>
        <v>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429.15473469052279</v>
      </c>
      <c r="AL127" s="57">
        <v>0</v>
      </c>
      <c r="AM127" s="57">
        <v>0</v>
      </c>
      <c r="AN127" s="61">
        <f t="shared" si="133"/>
        <v>3</v>
      </c>
      <c r="AO127" s="40">
        <f t="shared" si="147"/>
        <v>0</v>
      </c>
      <c r="AP127" s="40">
        <f t="shared" si="148"/>
        <v>0</v>
      </c>
      <c r="AQ127" s="44">
        <f t="shared" si="149"/>
        <v>1287.4642040715685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5</v>
      </c>
      <c r="G128" s="35">
        <f>SUMIFS(WORKING!$AC$3:$AC$6802,WORKING!$A$3:$A$6802,Results!$D$3,WORKING!$B$3:$B$6802,Results!A128,WORKING!$C$3:$C$6802,Results!C128)/1000</f>
        <v>2029.4180100000001</v>
      </c>
      <c r="H128" s="35">
        <f t="shared" si="134"/>
        <v>405.883602</v>
      </c>
      <c r="I128" s="187">
        <v>4</v>
      </c>
      <c r="J128" s="212">
        <v>1468</v>
      </c>
      <c r="K128" s="217">
        <f t="shared" si="135"/>
        <v>367</v>
      </c>
      <c r="L128" s="34">
        <f t="shared" si="128"/>
        <v>4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399.94411658390692</v>
      </c>
      <c r="N128" s="57">
        <v>4</v>
      </c>
      <c r="O128" s="57">
        <v>0</v>
      </c>
      <c r="P128" s="61">
        <f t="shared" si="129"/>
        <v>8</v>
      </c>
      <c r="Q128" s="40">
        <f t="shared" si="136"/>
        <v>1599.7764663356277</v>
      </c>
      <c r="R128" s="40">
        <f t="shared" si="137"/>
        <v>0</v>
      </c>
      <c r="S128" s="44">
        <f t="shared" si="138"/>
        <v>3199.5529326712553</v>
      </c>
      <c r="T128" s="35">
        <f t="shared" si="139"/>
        <v>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434.08832999383856</v>
      </c>
      <c r="V128" s="57">
        <v>0</v>
      </c>
      <c r="W128" s="57">
        <v>0</v>
      </c>
      <c r="X128" s="61">
        <f t="shared" si="130"/>
        <v>8</v>
      </c>
      <c r="Y128" s="40">
        <f t="shared" si="140"/>
        <v>0</v>
      </c>
      <c r="Z128" s="40">
        <f t="shared" si="141"/>
        <v>0</v>
      </c>
      <c r="AA128" s="44">
        <f t="shared" si="142"/>
        <v>3472.7066399507084</v>
      </c>
      <c r="AB128" s="35">
        <f t="shared" si="143"/>
        <v>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470.70727010136432</v>
      </c>
      <c r="AD128" s="57">
        <v>0</v>
      </c>
      <c r="AE128" s="57">
        <v>0</v>
      </c>
      <c r="AF128" s="61">
        <f t="shared" si="131"/>
        <v>8</v>
      </c>
      <c r="AG128" s="40">
        <f t="shared" si="144"/>
        <v>0</v>
      </c>
      <c r="AH128" s="40">
        <f t="shared" si="145"/>
        <v>0</v>
      </c>
      <c r="AI128" s="44">
        <f t="shared" si="146"/>
        <v>3765.6581608109145</v>
      </c>
      <c r="AJ128" s="35">
        <f t="shared" si="132"/>
        <v>8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509.46054570573443</v>
      </c>
      <c r="AL128" s="57">
        <v>0</v>
      </c>
      <c r="AM128" s="57">
        <v>0</v>
      </c>
      <c r="AN128" s="61">
        <f t="shared" si="133"/>
        <v>8</v>
      </c>
      <c r="AO128" s="40">
        <f t="shared" si="147"/>
        <v>0</v>
      </c>
      <c r="AP128" s="40">
        <f t="shared" si="148"/>
        <v>0</v>
      </c>
      <c r="AQ128" s="44">
        <f t="shared" si="149"/>
        <v>4075.6843656458755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>
        <v>0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2</v>
      </c>
      <c r="G130" s="35">
        <f>SUMIFS(WORKING!$AC$3:$AC$6802,WORKING!$A$3:$A$6802,Results!$D$3,WORKING!$B$3:$B$6802,Results!A130,WORKING!$C$3:$C$6802,Results!C130)/1000</f>
        <v>530.51615000000004</v>
      </c>
      <c r="H130" s="35">
        <f t="shared" si="134"/>
        <v>265.25807500000002</v>
      </c>
      <c r="I130" s="187">
        <v>3</v>
      </c>
      <c r="J130" s="212">
        <v>1971</v>
      </c>
      <c r="K130" s="217">
        <f t="shared" si="135"/>
        <v>657</v>
      </c>
      <c r="L130" s="34">
        <f t="shared" si="128"/>
        <v>3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717.55868281981725</v>
      </c>
      <c r="N130" s="57">
        <v>4</v>
      </c>
      <c r="O130" s="57">
        <v>0</v>
      </c>
      <c r="P130" s="61">
        <f t="shared" si="129"/>
        <v>7</v>
      </c>
      <c r="Q130" s="40">
        <f t="shared" si="136"/>
        <v>2870.234731279269</v>
      </c>
      <c r="R130" s="40">
        <f t="shared" si="137"/>
        <v>0</v>
      </c>
      <c r="S130" s="44">
        <f t="shared" si="138"/>
        <v>5022.9107797387205</v>
      </c>
      <c r="T130" s="35">
        <f t="shared" si="139"/>
        <v>7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779.32926465405285</v>
      </c>
      <c r="V130" s="57">
        <v>0</v>
      </c>
      <c r="W130" s="57">
        <v>0</v>
      </c>
      <c r="X130" s="61">
        <f t="shared" si="130"/>
        <v>7</v>
      </c>
      <c r="Y130" s="40">
        <f t="shared" si="140"/>
        <v>0</v>
      </c>
      <c r="Z130" s="40">
        <f t="shared" si="141"/>
        <v>0</v>
      </c>
      <c r="AA130" s="44">
        <f t="shared" si="142"/>
        <v>5455.3048525783697</v>
      </c>
      <c r="AB130" s="35">
        <f t="shared" si="143"/>
        <v>7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845.62628342108962</v>
      </c>
      <c r="AD130" s="57">
        <v>0</v>
      </c>
      <c r="AE130" s="57">
        <v>0</v>
      </c>
      <c r="AF130" s="61">
        <f t="shared" si="131"/>
        <v>7</v>
      </c>
      <c r="AG130" s="40">
        <f t="shared" si="144"/>
        <v>0</v>
      </c>
      <c r="AH130" s="40">
        <f t="shared" si="145"/>
        <v>0</v>
      </c>
      <c r="AI130" s="44">
        <f t="shared" si="146"/>
        <v>5919.3839839476277</v>
      </c>
      <c r="AJ130" s="35">
        <f t="shared" si="132"/>
        <v>7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915.84646951821105</v>
      </c>
      <c r="AL130" s="57">
        <v>0</v>
      </c>
      <c r="AM130" s="57">
        <v>0</v>
      </c>
      <c r="AN130" s="61">
        <f t="shared" si="133"/>
        <v>7</v>
      </c>
      <c r="AO130" s="40">
        <f t="shared" si="147"/>
        <v>0</v>
      </c>
      <c r="AP130" s="40">
        <f t="shared" si="148"/>
        <v>0</v>
      </c>
      <c r="AQ130" s="44">
        <f t="shared" si="149"/>
        <v>6410.9252866274774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59.438929999999999</v>
      </c>
      <c r="H131" s="35">
        <f t="shared" si="134"/>
        <v>0</v>
      </c>
      <c r="I131" s="187" t="s">
        <v>754</v>
      </c>
      <c r="J131" s="212">
        <v>0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3</v>
      </c>
      <c r="G132" s="35">
        <f>SUMIFS(WORKING!$AC$3:$AC$6802,WORKING!$A$3:$A$6802,Results!$D$3,WORKING!$B$3:$B$6802,Results!A132,WORKING!$C$3:$C$6802,Results!C132)/1000</f>
        <v>2419.4077900000007</v>
      </c>
      <c r="H132" s="35">
        <f t="shared" si="134"/>
        <v>806.46926333333352</v>
      </c>
      <c r="I132" s="187">
        <v>4</v>
      </c>
      <c r="J132" s="212">
        <v>3444</v>
      </c>
      <c r="K132" s="217">
        <f t="shared" si="135"/>
        <v>861</v>
      </c>
      <c r="L132" s="34">
        <f t="shared" si="128"/>
        <v>4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902.26841842091335</v>
      </c>
      <c r="N132" s="57">
        <v>1</v>
      </c>
      <c r="O132" s="57">
        <v>0</v>
      </c>
      <c r="P132" s="61">
        <f t="shared" si="129"/>
        <v>5</v>
      </c>
      <c r="Q132" s="40">
        <f t="shared" si="136"/>
        <v>902.26841842091335</v>
      </c>
      <c r="R132" s="40">
        <f t="shared" si="137"/>
        <v>0</v>
      </c>
      <c r="S132" s="44">
        <f t="shared" si="138"/>
        <v>4511.3420921045672</v>
      </c>
      <c r="T132" s="35">
        <f t="shared" si="139"/>
        <v>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970.22822559661608</v>
      </c>
      <c r="V132" s="57">
        <v>0</v>
      </c>
      <c r="W132" s="57">
        <v>0</v>
      </c>
      <c r="X132" s="61">
        <f t="shared" si="130"/>
        <v>5</v>
      </c>
      <c r="Y132" s="40">
        <f t="shared" si="140"/>
        <v>0</v>
      </c>
      <c r="Z132" s="40">
        <f t="shared" si="141"/>
        <v>0</v>
      </c>
      <c r="AA132" s="44">
        <f t="shared" si="142"/>
        <v>4851.1411279830809</v>
      </c>
      <c r="AB132" s="35">
        <f t="shared" si="143"/>
        <v>5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1042.3225852632634</v>
      </c>
      <c r="AD132" s="57">
        <v>0</v>
      </c>
      <c r="AE132" s="57">
        <v>0</v>
      </c>
      <c r="AF132" s="61">
        <f t="shared" si="131"/>
        <v>5</v>
      </c>
      <c r="AG132" s="40">
        <f t="shared" si="144"/>
        <v>0</v>
      </c>
      <c r="AH132" s="40">
        <f t="shared" si="145"/>
        <v>0</v>
      </c>
      <c r="AI132" s="44">
        <f t="shared" si="146"/>
        <v>5211.6129263163166</v>
      </c>
      <c r="AJ132" s="35">
        <f t="shared" si="132"/>
        <v>5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1117.6592553378528</v>
      </c>
      <c r="AL132" s="57">
        <v>0</v>
      </c>
      <c r="AM132" s="57">
        <v>0</v>
      </c>
      <c r="AN132" s="61">
        <f t="shared" si="133"/>
        <v>5</v>
      </c>
      <c r="AO132" s="40">
        <f t="shared" si="147"/>
        <v>0</v>
      </c>
      <c r="AP132" s="40">
        <f t="shared" si="148"/>
        <v>0</v>
      </c>
      <c r="AQ132" s="44">
        <f t="shared" si="149"/>
        <v>5588.2962766892633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1641.6136899999999</v>
      </c>
      <c r="H133" s="35">
        <f t="shared" si="134"/>
        <v>820.80684499999995</v>
      </c>
      <c r="I133" s="187">
        <v>2</v>
      </c>
      <c r="J133" s="212">
        <v>2094</v>
      </c>
      <c r="K133" s="217">
        <f t="shared" si="135"/>
        <v>1047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1097.505025974936</v>
      </c>
      <c r="N133" s="57">
        <v>2</v>
      </c>
      <c r="O133" s="57">
        <v>0</v>
      </c>
      <c r="P133" s="61">
        <f t="shared" si="129"/>
        <v>4</v>
      </c>
      <c r="Q133" s="40">
        <f t="shared" si="136"/>
        <v>2195.0100519498719</v>
      </c>
      <c r="R133" s="40">
        <f t="shared" si="137"/>
        <v>0</v>
      </c>
      <c r="S133" s="44">
        <f t="shared" si="138"/>
        <v>4390.0201038997438</v>
      </c>
      <c r="T133" s="35">
        <f t="shared" si="139"/>
        <v>4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1180.5160542245901</v>
      </c>
      <c r="V133" s="57">
        <v>0</v>
      </c>
      <c r="W133" s="57">
        <v>0</v>
      </c>
      <c r="X133" s="61">
        <f t="shared" si="130"/>
        <v>4</v>
      </c>
      <c r="Y133" s="40">
        <f t="shared" si="140"/>
        <v>0</v>
      </c>
      <c r="Z133" s="40">
        <f t="shared" si="141"/>
        <v>0</v>
      </c>
      <c r="AA133" s="44">
        <f t="shared" si="142"/>
        <v>4722.0642168983604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1268.6077851328021</v>
      </c>
      <c r="AD133" s="57">
        <v>0</v>
      </c>
      <c r="AE133" s="57">
        <v>0</v>
      </c>
      <c r="AF133" s="61">
        <f t="shared" si="131"/>
        <v>4</v>
      </c>
      <c r="AG133" s="40">
        <f t="shared" si="144"/>
        <v>0</v>
      </c>
      <c r="AH133" s="40">
        <f t="shared" si="145"/>
        <v>0</v>
      </c>
      <c r="AI133" s="44">
        <f t="shared" si="146"/>
        <v>5074.4311405312083</v>
      </c>
      <c r="AJ133" s="35">
        <f t="shared" si="132"/>
        <v>4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1360.6983999128197</v>
      </c>
      <c r="AL133" s="57">
        <v>0</v>
      </c>
      <c r="AM133" s="57">
        <v>0</v>
      </c>
      <c r="AN133" s="61">
        <f t="shared" si="133"/>
        <v>4</v>
      </c>
      <c r="AO133" s="40">
        <f t="shared" si="147"/>
        <v>0</v>
      </c>
      <c r="AP133" s="40">
        <f t="shared" si="148"/>
        <v>0</v>
      </c>
      <c r="AQ133" s="44">
        <f t="shared" si="149"/>
        <v>5442.7935996512788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1172.7343700000001</v>
      </c>
      <c r="H134" s="35">
        <f t="shared" si="134"/>
        <v>1172.7343700000001</v>
      </c>
      <c r="I134" s="187">
        <v>1</v>
      </c>
      <c r="J134" s="212">
        <v>1106</v>
      </c>
      <c r="K134" s="217">
        <f t="shared" si="135"/>
        <v>1106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1159.5187951171577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1159.5187951171577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1247.400753790153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1247.400753790153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1340.6774555296456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1340.6774555296456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1438.2077939965152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1438.2077939965152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>
        <v>0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17</v>
      </c>
      <c r="G140" s="41">
        <f>SUM(G120:G139)</f>
        <v>8603.0038100000002</v>
      </c>
      <c r="H140" s="41">
        <f>IFERROR(G140/F140,0)</f>
        <v>506.05904764705883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21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11655</v>
      </c>
      <c r="K140" s="41">
        <f>IFERROR(J140/I140,"")</f>
        <v>555</v>
      </c>
      <c r="L140" s="41">
        <f>SUM(L120:L139)</f>
        <v>21</v>
      </c>
      <c r="M140" s="41">
        <f>IFERROR(S140/P140,0)</f>
        <v>553.46903713592542</v>
      </c>
      <c r="N140" s="41">
        <f t="shared" ref="N140:T140" si="151">SUM(N120:N139)</f>
        <v>20</v>
      </c>
      <c r="O140" s="41">
        <f t="shared" si="151"/>
        <v>1</v>
      </c>
      <c r="P140" s="41">
        <f t="shared" si="151"/>
        <v>40</v>
      </c>
      <c r="Q140" s="41">
        <f t="shared" si="151"/>
        <v>9857.5185374204721</v>
      </c>
      <c r="R140" s="41">
        <f t="shared" si="151"/>
        <v>-144.16143872597257</v>
      </c>
      <c r="S140" s="45">
        <f t="shared" si="151"/>
        <v>22138.761485437019</v>
      </c>
      <c r="T140" s="41">
        <f t="shared" si="151"/>
        <v>40</v>
      </c>
      <c r="U140" s="41">
        <f>IFERROR(AA140/X140,0)</f>
        <v>518.75662403001991</v>
      </c>
      <c r="V140" s="41">
        <f t="shared" ref="V140:AB140" si="152">SUM(V120:V139)</f>
        <v>9</v>
      </c>
      <c r="W140" s="41">
        <f t="shared" si="152"/>
        <v>0</v>
      </c>
      <c r="X140" s="41">
        <f t="shared" si="152"/>
        <v>49</v>
      </c>
      <c r="Y140" s="41">
        <f t="shared" si="152"/>
        <v>1497.8215547256636</v>
      </c>
      <c r="Z140" s="41">
        <f t="shared" si="152"/>
        <v>0</v>
      </c>
      <c r="AA140" s="45">
        <f t="shared" si="152"/>
        <v>25419.074577470976</v>
      </c>
      <c r="AB140" s="41">
        <f t="shared" si="152"/>
        <v>49</v>
      </c>
      <c r="AC140" s="41">
        <f>IFERROR(AI140/AF140,0)</f>
        <v>657.78842410662151</v>
      </c>
      <c r="AD140" s="41">
        <f t="shared" ref="AD140:AJ140" si="153">SUM(AD120:AD139)</f>
        <v>0</v>
      </c>
      <c r="AE140" s="41">
        <f t="shared" si="153"/>
        <v>10</v>
      </c>
      <c r="AF140" s="41">
        <f t="shared" si="153"/>
        <v>39</v>
      </c>
      <c r="AG140" s="41">
        <f t="shared" si="153"/>
        <v>0</v>
      </c>
      <c r="AH140" s="41">
        <f t="shared" si="153"/>
        <v>-1786.1232430969135</v>
      </c>
      <c r="AI140" s="45">
        <f t="shared" si="153"/>
        <v>25653.748540158238</v>
      </c>
      <c r="AJ140" s="41">
        <f t="shared" si="153"/>
        <v>39</v>
      </c>
      <c r="AK140" s="41">
        <f>IFERROR(AQ140/AN140,0)</f>
        <v>708.75923212170767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39</v>
      </c>
      <c r="AO140" s="41">
        <f t="shared" si="154"/>
        <v>0</v>
      </c>
      <c r="AP140" s="41">
        <f t="shared" si="154"/>
        <v>0</v>
      </c>
      <c r="AQ140" s="45">
        <f t="shared" si="154"/>
        <v>27641.610052746597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15521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17913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18987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20430.012000000002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-6617.7614854370186</v>
      </c>
      <c r="T142" s="39"/>
      <c r="U142" s="39"/>
      <c r="V142" s="53"/>
      <c r="W142" s="53"/>
      <c r="X142" s="110"/>
      <c r="Y142" s="39"/>
      <c r="Z142" s="39"/>
      <c r="AA142" s="54">
        <f>AA141-AA140</f>
        <v>-7506.0745774709758</v>
      </c>
      <c r="AB142" s="39"/>
      <c r="AC142" s="53"/>
      <c r="AD142" s="53"/>
      <c r="AE142" s="110"/>
      <c r="AF142" s="39"/>
      <c r="AG142" s="39"/>
      <c r="AH142" s="39"/>
      <c r="AI142" s="54">
        <f>AI141-AI140</f>
        <v>-6666.748540158238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-7211.5980527465945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2</v>
      </c>
      <c r="G148" s="35">
        <f>SUMIFS(WORKING!$AC$3:$AC$6802,WORKING!$A$3:$A$6802,Results!$D$3,WORKING!$B$3:$B$6802,Results!A148,WORKING!$C$3:$C$6802,Results!C148)/1000</f>
        <v>642.20844</v>
      </c>
      <c r="H148" s="35">
        <f>IFERROR(G148/F148,0)</f>
        <v>321.10422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350.6907628308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380.8677029723903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413.25478809464744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447.55700178044361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48</v>
      </c>
      <c r="G150" s="35">
        <f>SUMIFS(WORKING!$AC$3:$AC$6802,WORKING!$A$3:$A$6802,Results!$D$3,WORKING!$B$3:$B$6802,Results!A150,WORKING!$C$3:$C$6802,Results!C150)/1000</f>
        <v>721.09818999999993</v>
      </c>
      <c r="H150" s="35">
        <f t="shared" si="161"/>
        <v>15.022878958333331</v>
      </c>
      <c r="I150" s="187">
        <v>0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16.172972900375765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17.493197273140989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18.903505425994357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20.389284817422247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19</v>
      </c>
      <c r="G151" s="35">
        <f>SUMIFS(WORKING!$AC$3:$AC$6802,WORKING!$A$3:$A$6802,Results!$D$3,WORKING!$B$3:$B$6802,Results!A151,WORKING!$C$3:$C$6802,Results!C151)/1000</f>
        <v>334.08461000000005</v>
      </c>
      <c r="H151" s="35">
        <f t="shared" si="161"/>
        <v>17.583400526315792</v>
      </c>
      <c r="I151" s="187">
        <v>0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18.9183774288344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20.459345452304259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22.105145537600237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23.83863954948637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82</v>
      </c>
      <c r="G152" s="35">
        <f>SUMIFS(WORKING!$AC$3:$AC$6802,WORKING!$A$3:$A$6802,Results!$D$3,WORKING!$B$3:$B$6802,Results!A152,WORKING!$C$3:$C$6802,Results!C152)/1000</f>
        <v>1656.8083800000002</v>
      </c>
      <c r="H152" s="35">
        <f t="shared" si="161"/>
        <v>20.20498024390244</v>
      </c>
      <c r="I152" s="187">
        <v>0</v>
      </c>
      <c r="J152" s="212">
        <v>0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21.811684986544829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23.610570254799406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25.533925256188809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27.562286377694548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11</v>
      </c>
      <c r="G153" s="35">
        <f>SUMIFS(WORKING!$AC$3:$AC$6802,WORKING!$A$3:$A$6802,Results!$D$3,WORKING!$B$3:$B$6802,Results!A153,WORKING!$C$3:$C$6802,Results!C153)/1000</f>
        <v>276.48788000000002</v>
      </c>
      <c r="H153" s="35">
        <f t="shared" si="161"/>
        <v>25.135261818181821</v>
      </c>
      <c r="I153" s="187">
        <v>0</v>
      </c>
      <c r="J153" s="212">
        <v>0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27.25237376335226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29.536204538321371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31.981514056065798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34.564492037262902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62</v>
      </c>
      <c r="G154" s="35">
        <f>SUMIFS(WORKING!$AC$3:$AC$6802,WORKING!$A$3:$A$6802,Results!$D$3,WORKING!$B$3:$B$6802,Results!A154,WORKING!$C$3:$C$6802,Results!C154)/1000</f>
        <v>1660.5067900000004</v>
      </c>
      <c r="H154" s="35">
        <f t="shared" si="161"/>
        <v>26.782367580645168</v>
      </c>
      <c r="I154" s="187">
        <v>0</v>
      </c>
      <c r="J154" s="212">
        <v>0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29.066662291648626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31.511375506323496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34.129780417085499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36.896601048525788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11</v>
      </c>
      <c r="G155" s="35">
        <f>SUMIFS(WORKING!$AC$3:$AC$6802,WORKING!$A$3:$A$6802,Results!$D$3,WORKING!$B$3:$B$6802,Results!A155,WORKING!$C$3:$C$6802,Results!C155)/1000</f>
        <v>393.83853999999997</v>
      </c>
      <c r="H155" s="35">
        <f t="shared" si="161"/>
        <v>35.803503636363637</v>
      </c>
      <c r="I155" s="187">
        <v>0</v>
      </c>
      <c r="J155" s="212">
        <v>0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38.852142291839073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42.118300619536619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45.616364170444733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49.312528181758289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45</v>
      </c>
      <c r="G156" s="35">
        <f>SUMIFS(WORKING!$AC$3:$AC$6802,WORKING!$A$3:$A$6802,Results!$D$3,WORKING!$B$3:$B$6802,Results!A156,WORKING!$C$3:$C$6802,Results!C156)/1000</f>
        <v>3466.5995400000006</v>
      </c>
      <c r="H156" s="35">
        <f t="shared" si="161"/>
        <v>77.035545333333346</v>
      </c>
      <c r="I156" s="187">
        <v>0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84.074267042556357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91.289547034003974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99.031454734163461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107.22903906021071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5</v>
      </c>
      <c r="G157" s="35">
        <f>SUMIFS(WORKING!$AC$3:$AC$6802,WORKING!$A$3:$A$6802,Results!$D$3,WORKING!$B$3:$B$6802,Results!A157,WORKING!$C$3:$C$6802,Results!C157)/1000</f>
        <v>991.09356000000002</v>
      </c>
      <c r="H157" s="35">
        <f t="shared" si="161"/>
        <v>198.21871200000001</v>
      </c>
      <c r="I157" s="187">
        <v>0</v>
      </c>
      <c r="J157" s="212">
        <v>0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216.37504248870039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234.95719303430067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254.89691719780936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276.01189551530894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18</v>
      </c>
      <c r="G158" s="35">
        <f>SUMIFS(WORKING!$AC$3:$AC$6802,WORKING!$A$3:$A$6802,Results!$D$3,WORKING!$B$3:$B$6802,Results!A158,WORKING!$C$3:$C$6802,Results!C158)/1000</f>
        <v>8963.233000000002</v>
      </c>
      <c r="H158" s="35">
        <f t="shared" si="161"/>
        <v>497.957388888889</v>
      </c>
      <c r="I158" s="187">
        <v>0</v>
      </c>
      <c r="J158" s="212">
        <v>0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543.54642673724459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590.0008202989145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639.82692708248987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692.56274450285878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8</v>
      </c>
      <c r="G159" s="35">
        <f>SUMIFS(WORKING!$AC$3:$AC$6802,WORKING!$A$3:$A$6802,Results!$D$3,WORKING!$B$3:$B$6802,Results!A159,WORKING!$C$3:$C$6802,Results!C159)/1000</f>
        <v>6345.3694799999985</v>
      </c>
      <c r="H159" s="35">
        <f t="shared" si="161"/>
        <v>793.17118499999981</v>
      </c>
      <c r="I159" s="187">
        <v>0</v>
      </c>
      <c r="J159" s="212">
        <v>0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865.70489827267488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939.60285473219449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1018.855766703876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1102.7264772222659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48</v>
      </c>
      <c r="G160" s="35">
        <f>SUMIFS(WORKING!$AC$3:$AC$6802,WORKING!$A$3:$A$6802,Results!$D$3,WORKING!$B$3:$B$6802,Results!A160,WORKING!$C$3:$C$6802,Results!C160)/1000</f>
        <v>45792.016639999994</v>
      </c>
      <c r="H160" s="35">
        <f t="shared" si="161"/>
        <v>954.00034666666659</v>
      </c>
      <c r="I160" s="187">
        <v>0</v>
      </c>
      <c r="J160" s="212">
        <v>0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999.9056629661228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1075.4124680199648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1155.5299366052534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1239.271215918187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9</v>
      </c>
      <c r="G161" s="35">
        <f>SUMIFS(WORKING!$AC$3:$AC$6802,WORKING!$A$3:$A$6802,Results!$D$3,WORKING!$B$3:$B$6802,Results!A161,WORKING!$C$3:$C$6802,Results!C161)/1000</f>
        <v>18436.978879999999</v>
      </c>
      <c r="H161" s="35">
        <f t="shared" si="161"/>
        <v>2048.5532088888885</v>
      </c>
      <c r="I161" s="187">
        <v>0</v>
      </c>
      <c r="J161" s="212">
        <v>0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2147.1300436761549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2309.2714837126023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2481.3140309347109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2661.1386166283864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2</v>
      </c>
      <c r="G162" s="35">
        <f>SUMIFS(WORKING!$AC$3:$AC$6802,WORKING!$A$3:$A$6802,Results!$D$3,WORKING!$B$3:$B$6802,Results!A162,WORKING!$C$3:$C$6802,Results!C162)/1000</f>
        <v>4323.7802899999997</v>
      </c>
      <c r="H162" s="35">
        <f t="shared" si="161"/>
        <v>2161.8901449999998</v>
      </c>
      <c r="I162" s="187">
        <v>0</v>
      </c>
      <c r="J162" s="212">
        <v>0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2265.6063547600743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2436.3564634715258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2617.5036816787197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2806.8086053965208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515</v>
      </c>
      <c r="G163" s="35">
        <f>SUMIFS(WORKING!$AC$3:$AC$6802,WORKING!$A$3:$A$6802,Results!$D$3,WORKING!$B$3:$B$6802,Results!A163,WORKING!$C$3:$C$6802,Results!C163)/1000</f>
        <v>654415.64790000033</v>
      </c>
      <c r="H163" s="35">
        <f t="shared" si="161"/>
        <v>1270.7099959223308</v>
      </c>
      <c r="I163" s="187">
        <v>0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1332.2737689428336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1433.3295411195168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1540.5958417945444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1652.7623765696333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755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>
        <v>885</v>
      </c>
      <c r="J164" s="212">
        <v>748420</v>
      </c>
      <c r="K164" s="217">
        <f t="shared" si="162"/>
        <v>845.67231638418082</v>
      </c>
      <c r="L164" s="34">
        <f t="shared" si="155"/>
        <v>885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873.57950282485876</v>
      </c>
      <c r="N164" s="57">
        <v>74</v>
      </c>
      <c r="O164" s="57">
        <v>0</v>
      </c>
      <c r="P164" s="61">
        <f t="shared" si="156"/>
        <v>959</v>
      </c>
      <c r="Q164" s="40">
        <f t="shared" si="163"/>
        <v>64644.883209039552</v>
      </c>
      <c r="R164" s="40">
        <f t="shared" si="164"/>
        <v>0</v>
      </c>
      <c r="S164" s="44">
        <f t="shared" si="165"/>
        <v>837762.74320903956</v>
      </c>
      <c r="T164" s="35">
        <f t="shared" si="166"/>
        <v>959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925.99427299435035</v>
      </c>
      <c r="V164" s="57">
        <v>0</v>
      </c>
      <c r="W164" s="57">
        <v>11</v>
      </c>
      <c r="X164" s="61">
        <f t="shared" si="157"/>
        <v>948</v>
      </c>
      <c r="Y164" s="40">
        <f t="shared" si="167"/>
        <v>0</v>
      </c>
      <c r="Z164" s="40">
        <f t="shared" si="168"/>
        <v>-10185.937002937853</v>
      </c>
      <c r="AA164" s="44">
        <f t="shared" si="169"/>
        <v>877842.5707986441</v>
      </c>
      <c r="AB164" s="35">
        <f t="shared" si="170"/>
        <v>948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980.62793510101699</v>
      </c>
      <c r="AD164" s="57">
        <v>0</v>
      </c>
      <c r="AE164" s="57">
        <v>1</v>
      </c>
      <c r="AF164" s="61">
        <f t="shared" si="158"/>
        <v>947</v>
      </c>
      <c r="AG164" s="40">
        <f t="shared" si="171"/>
        <v>0</v>
      </c>
      <c r="AH164" s="40">
        <f t="shared" si="172"/>
        <v>-980.62793510101699</v>
      </c>
      <c r="AI164" s="44">
        <f t="shared" si="173"/>
        <v>928654.65454066312</v>
      </c>
      <c r="AJ164" s="35">
        <f t="shared" si="159"/>
        <v>947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1036.523727401775</v>
      </c>
      <c r="AL164" s="57">
        <v>18</v>
      </c>
      <c r="AM164" s="57">
        <v>0</v>
      </c>
      <c r="AN164" s="61">
        <f t="shared" si="160"/>
        <v>965</v>
      </c>
      <c r="AO164" s="40">
        <f t="shared" si="174"/>
        <v>18657.427093231949</v>
      </c>
      <c r="AP164" s="40">
        <f t="shared" si="175"/>
        <v>0</v>
      </c>
      <c r="AQ164" s="44">
        <f t="shared" si="176"/>
        <v>1000245.3969427128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885</v>
      </c>
      <c r="G168" s="41">
        <f>SUM(G148:G167)</f>
        <v>748419.75212000031</v>
      </c>
      <c r="H168" s="41">
        <f>IFERROR(G168/F168,0)</f>
        <v>845.67203629378571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885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748420</v>
      </c>
      <c r="K168" s="41">
        <f>IFERROR(J168/I168,"")</f>
        <v>845.67231638418082</v>
      </c>
      <c r="L168" s="41">
        <f>SUM(L148:L167)</f>
        <v>885</v>
      </c>
      <c r="M168" s="41">
        <f>IFERROR(S168/P168,0)</f>
        <v>873.57950282485876</v>
      </c>
      <c r="N168" s="41">
        <f t="shared" ref="N168:T168" si="177">SUM(N148:N167)</f>
        <v>74</v>
      </c>
      <c r="O168" s="41">
        <f t="shared" si="177"/>
        <v>0</v>
      </c>
      <c r="P168" s="41">
        <f t="shared" si="177"/>
        <v>959</v>
      </c>
      <c r="Q168" s="41">
        <f t="shared" si="177"/>
        <v>64644.883209039552</v>
      </c>
      <c r="R168" s="41">
        <f t="shared" si="177"/>
        <v>0</v>
      </c>
      <c r="S168" s="45">
        <f t="shared" si="177"/>
        <v>837762.74320903956</v>
      </c>
      <c r="T168" s="41">
        <f t="shared" si="177"/>
        <v>959</v>
      </c>
      <c r="U168" s="41">
        <f>IFERROR(AA168/X168,0)</f>
        <v>925.99427299435035</v>
      </c>
      <c r="V168" s="41">
        <f t="shared" ref="V168:AB168" si="178">SUM(V148:V167)</f>
        <v>0</v>
      </c>
      <c r="W168" s="41">
        <f t="shared" si="178"/>
        <v>11</v>
      </c>
      <c r="X168" s="41">
        <f t="shared" si="178"/>
        <v>948</v>
      </c>
      <c r="Y168" s="41">
        <f t="shared" si="178"/>
        <v>0</v>
      </c>
      <c r="Z168" s="41">
        <f t="shared" si="178"/>
        <v>-10185.937002937853</v>
      </c>
      <c r="AA168" s="45">
        <f t="shared" si="178"/>
        <v>877842.5707986441</v>
      </c>
      <c r="AB168" s="41">
        <f t="shared" si="178"/>
        <v>948</v>
      </c>
      <c r="AC168" s="41">
        <f>IFERROR(AI168/AF168,0)</f>
        <v>980.62793510101699</v>
      </c>
      <c r="AD168" s="41">
        <f t="shared" ref="AD168:AJ168" si="179">SUM(AD148:AD167)</f>
        <v>0</v>
      </c>
      <c r="AE168" s="41">
        <f t="shared" si="179"/>
        <v>1</v>
      </c>
      <c r="AF168" s="41">
        <f t="shared" si="179"/>
        <v>947</v>
      </c>
      <c r="AG168" s="41">
        <f t="shared" si="179"/>
        <v>0</v>
      </c>
      <c r="AH168" s="41">
        <f t="shared" si="179"/>
        <v>-980.62793510101699</v>
      </c>
      <c r="AI168" s="45">
        <f t="shared" si="179"/>
        <v>928654.65454066312</v>
      </c>
      <c r="AJ168" s="41">
        <f t="shared" si="179"/>
        <v>947</v>
      </c>
      <c r="AK168" s="41">
        <f>IFERROR(AQ168/AN168,0)</f>
        <v>1036.523727401775</v>
      </c>
      <c r="AL168" s="41">
        <f t="shared" ref="AL168:AQ168" si="180">SUM(AL148:AL167)</f>
        <v>18</v>
      </c>
      <c r="AM168" s="41">
        <f t="shared" si="180"/>
        <v>0</v>
      </c>
      <c r="AN168" s="41">
        <f t="shared" si="180"/>
        <v>965</v>
      </c>
      <c r="AO168" s="41">
        <f t="shared" si="180"/>
        <v>18657.427093231949</v>
      </c>
      <c r="AP168" s="41">
        <f t="shared" si="180"/>
        <v>0</v>
      </c>
      <c r="AQ168" s="45">
        <f t="shared" si="180"/>
        <v>1000245.3969427128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-837762.74320903956</v>
      </c>
      <c r="T170" s="39"/>
      <c r="U170" s="39"/>
      <c r="V170" s="53"/>
      <c r="W170" s="53"/>
      <c r="X170" s="110"/>
      <c r="Y170" s="39"/>
      <c r="Z170" s="39"/>
      <c r="AA170" s="54">
        <f>AA169-AA168</f>
        <v>-877842.5707986441</v>
      </c>
      <c r="AB170" s="39"/>
      <c r="AC170" s="53"/>
      <c r="AD170" s="53"/>
      <c r="AE170" s="110"/>
      <c r="AF170" s="39"/>
      <c r="AG170" s="39"/>
      <c r="AH170" s="39"/>
      <c r="AI170" s="54">
        <f>AI169-AI168</f>
        <v>-928654.65454066312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-1000245.3969427128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864991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908241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960918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1033947.768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864991</v>
      </c>
      <c r="T198" s="39"/>
      <c r="U198" s="39"/>
      <c r="V198" s="53"/>
      <c r="W198" s="53"/>
      <c r="X198" s="110"/>
      <c r="Y198" s="39"/>
      <c r="Z198" s="39"/>
      <c r="AA198" s="54">
        <f>AA197-AA196</f>
        <v>908241</v>
      </c>
      <c r="AB198" s="39"/>
      <c r="AC198" s="53"/>
      <c r="AD198" s="53"/>
      <c r="AE198" s="110"/>
      <c r="AF198" s="39"/>
      <c r="AG198" s="39"/>
      <c r="AH198" s="39"/>
      <c r="AI198" s="54">
        <f>AI197-AI196</f>
        <v>960918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1033947.768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Direct charge against the National Revenue Fund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6oO6zhNqB2JjtGyU6M8xecHPOYKJCnXb9hKvbaY82dDyqjDS3dwXfFiDEV+61FICVheVXY9FoGcWAfQ14gN2UQ==" saltValue="HFgU/Ow8TQnm4NqW+T/Qr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National Office of the Chief Justice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22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42671.502631944444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NAT_HRBP__42671.5026319444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HRBP-Vote22.xlsx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terms/"/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df7ca258-5e24-45de-bd31-dbc76bc6765a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